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 codeName="ЭтаКнига" defaultThemeVersion="124226"/>
  <bookViews>
    <workbookView xWindow="0" yWindow="0" windowWidth="24900" windowHeight="12300" activeTab="7"/>
  </bookViews>
  <sheets>
    <sheet name="№ 1 источ " sheetId="193" r:id="rId1"/>
    <sheet name="№2 источ" sheetId="198" r:id="rId2"/>
    <sheet name="№ 3 дох." sheetId="201" r:id="rId3"/>
    <sheet name="№4 дох. по кодам" sheetId="202" r:id="rId4"/>
    <sheet name="№ 5 р.п" sheetId="143" r:id="rId5"/>
    <sheet name="№ 6 ведом" sheetId="154" r:id="rId6"/>
    <sheet name=" № 7  рп, кцср, квр" sheetId="155" r:id="rId7"/>
    <sheet name="№ 8 МП" sheetId="147" r:id="rId8"/>
    <sheet name="№ 9 ПО " sheetId="199" r:id="rId9"/>
    <sheet name="№ 10 АИП" sheetId="200" r:id="rId10"/>
  </sheets>
  <externalReferences>
    <externalReference r:id="rId11"/>
  </externalReferences>
  <definedNames>
    <definedName name="_FilterDatabase" localSheetId="6" hidden="1">' № 7  рп, кцср, квр'!$A$6:$I$807</definedName>
    <definedName name="_FilterDatabase" localSheetId="5" hidden="1">'№ 6 ведом'!$A$7:$G$867</definedName>
    <definedName name="_FilterDatabase" localSheetId="7" hidden="1">'№ 8 МП'!$A$1:$E$539</definedName>
    <definedName name="_xlnm._FilterDatabase" localSheetId="6" hidden="1">' № 7  рп, кцср, квр'!$A$6:$I$807</definedName>
    <definedName name="_xlnm._FilterDatabase" localSheetId="5" hidden="1">'№ 6 ведом'!$A$6:$G$6</definedName>
    <definedName name="_xlnm._FilterDatabase" localSheetId="3" hidden="1">'№4 дох. по кодам'!$A$8:$G$117</definedName>
    <definedName name="Print_Area" localSheetId="4">'№ 5 р.п'!$A$1:$D$42</definedName>
    <definedName name="Print_Area" localSheetId="5">'№ 6 ведом'!$A$1:$G$867</definedName>
    <definedName name="Print_Area" localSheetId="7">'№ 8 МП'!$A$1:$E$539</definedName>
    <definedName name="_xlnm.Print_Area" localSheetId="2">'№ 3 дох.'!$A$1:$D$204</definedName>
  </definedNames>
  <calcPr calcId="124519"/>
  <fileRecoveryPr autoRecover="0"/>
</workbook>
</file>

<file path=xl/calcChain.xml><?xml version="1.0" encoding="utf-8"?>
<calcChain xmlns="http://schemas.openxmlformats.org/spreadsheetml/2006/main">
  <c r="D201" i="201"/>
  <c r="D200" s="1"/>
  <c r="C201"/>
  <c r="C200"/>
  <c r="D198"/>
  <c r="D197" s="1"/>
  <c r="D196" s="1"/>
  <c r="C198"/>
  <c r="C197"/>
  <c r="C196" s="1"/>
  <c r="D192"/>
  <c r="C192"/>
  <c r="C191" s="1"/>
  <c r="D191"/>
  <c r="C190"/>
  <c r="C187"/>
  <c r="C186"/>
  <c r="C185" s="1"/>
  <c r="C174" s="1"/>
  <c r="D185"/>
  <c r="D183"/>
  <c r="D174" s="1"/>
  <c r="D136" s="1"/>
  <c r="C183"/>
  <c r="C182"/>
  <c r="D181"/>
  <c r="C181"/>
  <c r="D179"/>
  <c r="C179"/>
  <c r="D177"/>
  <c r="C177"/>
  <c r="D175"/>
  <c r="C175"/>
  <c r="C171"/>
  <c r="C170"/>
  <c r="C169"/>
  <c r="C168"/>
  <c r="C167"/>
  <c r="C160" s="1"/>
  <c r="C165"/>
  <c r="C163"/>
  <c r="D160"/>
  <c r="D142" s="1"/>
  <c r="D158"/>
  <c r="C158"/>
  <c r="C157"/>
  <c r="C156" s="1"/>
  <c r="D156"/>
  <c r="D154"/>
  <c r="C154"/>
  <c r="D152"/>
  <c r="C152"/>
  <c r="D150"/>
  <c r="C150"/>
  <c r="C149"/>
  <c r="C147"/>
  <c r="D146"/>
  <c r="C146"/>
  <c r="C145"/>
  <c r="C144" s="1"/>
  <c r="C143" s="1"/>
  <c r="D144"/>
  <c r="D143"/>
  <c r="D140"/>
  <c r="C140"/>
  <c r="D138"/>
  <c r="C138"/>
  <c r="D137"/>
  <c r="C137"/>
  <c r="D132"/>
  <c r="D129" s="1"/>
  <c r="C132"/>
  <c r="C129" s="1"/>
  <c r="D130"/>
  <c r="C130"/>
  <c r="D127"/>
  <c r="D126" s="1"/>
  <c r="C127"/>
  <c r="C126" s="1"/>
  <c r="D123"/>
  <c r="D122" s="1"/>
  <c r="C123"/>
  <c r="C122" s="1"/>
  <c r="D120"/>
  <c r="C120"/>
  <c r="D118"/>
  <c r="C118"/>
  <c r="D117"/>
  <c r="C117"/>
  <c r="D115"/>
  <c r="C115"/>
  <c r="C114"/>
  <c r="C113" s="1"/>
  <c r="D113"/>
  <c r="C112"/>
  <c r="D111"/>
  <c r="C111"/>
  <c r="C110"/>
  <c r="D109"/>
  <c r="C109"/>
  <c r="C108"/>
  <c r="D107"/>
  <c r="C107"/>
  <c r="C106"/>
  <c r="C105" s="1"/>
  <c r="D105"/>
  <c r="D103"/>
  <c r="C103"/>
  <c r="C102"/>
  <c r="D101"/>
  <c r="C101"/>
  <c r="D99"/>
  <c r="C99"/>
  <c r="C98"/>
  <c r="D97"/>
  <c r="C97"/>
  <c r="C95"/>
  <c r="D94"/>
  <c r="C94"/>
  <c r="C93"/>
  <c r="C92" s="1"/>
  <c r="D92"/>
  <c r="C91"/>
  <c r="C90" s="1"/>
  <c r="D90"/>
  <c r="D89" s="1"/>
  <c r="C87"/>
  <c r="D86"/>
  <c r="C86"/>
  <c r="D84"/>
  <c r="C84"/>
  <c r="D82"/>
  <c r="C82"/>
  <c r="C81" s="1"/>
  <c r="C75" s="1"/>
  <c r="D81"/>
  <c r="D79"/>
  <c r="D78" s="1"/>
  <c r="D75" s="1"/>
  <c r="C79"/>
  <c r="C78" s="1"/>
  <c r="D76"/>
  <c r="C76"/>
  <c r="D73"/>
  <c r="D72" s="1"/>
  <c r="D71" s="1"/>
  <c r="C73"/>
  <c r="C72" s="1"/>
  <c r="C71" s="1"/>
  <c r="D69"/>
  <c r="D66" s="1"/>
  <c r="D65" s="1"/>
  <c r="C69"/>
  <c r="C66"/>
  <c r="C65" s="1"/>
  <c r="D63"/>
  <c r="C63"/>
  <c r="C60" s="1"/>
  <c r="D61"/>
  <c r="D60" s="1"/>
  <c r="C61"/>
  <c r="D58"/>
  <c r="C58"/>
  <c r="D57"/>
  <c r="C57"/>
  <c r="D55"/>
  <c r="C55"/>
  <c r="D53"/>
  <c r="D50" s="1"/>
  <c r="D49" s="1"/>
  <c r="C53"/>
  <c r="D51"/>
  <c r="C51"/>
  <c r="C50"/>
  <c r="C49" s="1"/>
  <c r="D47"/>
  <c r="D46" s="1"/>
  <c r="C47"/>
  <c r="C46" s="1"/>
  <c r="D44"/>
  <c r="C44"/>
  <c r="C41" s="1"/>
  <c r="C38" s="1"/>
  <c r="D42"/>
  <c r="D41" s="1"/>
  <c r="C42"/>
  <c r="D39"/>
  <c r="D38" s="1"/>
  <c r="C39"/>
  <c r="D36"/>
  <c r="D28" s="1"/>
  <c r="C36"/>
  <c r="D34"/>
  <c r="C34"/>
  <c r="D32"/>
  <c r="C32"/>
  <c r="D30"/>
  <c r="C30"/>
  <c r="C29" s="1"/>
  <c r="C28" s="1"/>
  <c r="D29"/>
  <c r="D26"/>
  <c r="C26"/>
  <c r="D24"/>
  <c r="C24"/>
  <c r="D22"/>
  <c r="C22"/>
  <c r="D20"/>
  <c r="D19" s="1"/>
  <c r="D18" s="1"/>
  <c r="C20"/>
  <c r="C19" s="1"/>
  <c r="C18" s="1"/>
  <c r="D11"/>
  <c r="D10" s="1"/>
  <c r="C11"/>
  <c r="C10"/>
  <c r="C9" l="1"/>
  <c r="C89"/>
  <c r="C88" s="1"/>
  <c r="D88"/>
  <c r="C142"/>
  <c r="C136" s="1"/>
  <c r="C135" s="1"/>
  <c r="D135"/>
  <c r="D9"/>
  <c r="D204" s="1"/>
  <c r="C204" l="1"/>
  <c r="E13" i="198" l="1"/>
  <c r="D13"/>
  <c r="E12"/>
  <c r="D12"/>
  <c r="H14" i="200"/>
  <c r="C18" i="193" l="1"/>
  <c r="C17" s="1"/>
  <c r="C16" s="1"/>
  <c r="C14"/>
  <c r="C13"/>
  <c r="C12" s="1"/>
  <c r="C11" s="1"/>
  <c r="C20" s="1"/>
  <c r="E390" i="147" l="1"/>
  <c r="E389" s="1"/>
  <c r="E388" s="1"/>
  <c r="E387" s="1"/>
  <c r="E489"/>
  <c r="E488" s="1"/>
  <c r="E487" s="1"/>
  <c r="E486" s="1"/>
  <c r="E502"/>
  <c r="E501" s="1"/>
  <c r="E500" s="1"/>
  <c r="F331" i="155"/>
  <c r="E319" i="147" s="1"/>
  <c r="E318" s="1"/>
  <c r="E317" s="1"/>
  <c r="E316" s="1"/>
  <c r="F336" i="155"/>
  <c r="F335" s="1"/>
  <c r="F334" s="1"/>
  <c r="F327"/>
  <c r="F326" s="1"/>
  <c r="F325" s="1"/>
  <c r="F324" s="1"/>
  <c r="F330" l="1"/>
  <c r="F329" s="1"/>
  <c r="F328" s="1"/>
  <c r="E324" i="147"/>
  <c r="E323" s="1"/>
  <c r="E322" s="1"/>
  <c r="E315"/>
  <c r="E314" s="1"/>
  <c r="E313" s="1"/>
  <c r="E312" s="1"/>
  <c r="F352" i="155"/>
  <c r="F355"/>
  <c r="F354" s="1"/>
  <c r="F353" s="1"/>
  <c r="F358"/>
  <c r="F361"/>
  <c r="F365"/>
  <c r="F364" s="1"/>
  <c r="F363" s="1"/>
  <c r="F369"/>
  <c r="F368" s="1"/>
  <c r="F367" s="1"/>
  <c r="F366" s="1"/>
  <c r="F375"/>
  <c r="F379"/>
  <c r="F382"/>
  <c r="F381" s="1"/>
  <c r="F380" s="1"/>
  <c r="F385"/>
  <c r="E409" i="147" s="1"/>
  <c r="E408" s="1"/>
  <c r="E407" s="1"/>
  <c r="F389" i="155"/>
  <c r="F388" s="1"/>
  <c r="F387" s="1"/>
  <c r="F386" s="1"/>
  <c r="F393"/>
  <c r="F392" s="1"/>
  <c r="F391" s="1"/>
  <c r="F390" s="1"/>
  <c r="F397"/>
  <c r="F396" s="1"/>
  <c r="F395" s="1"/>
  <c r="F394" s="1"/>
  <c r="F404"/>
  <c r="F407"/>
  <c r="F406" s="1"/>
  <c r="F405" s="1"/>
  <c r="F410"/>
  <c r="F409" s="1"/>
  <c r="F408" s="1"/>
  <c r="F412"/>
  <c r="F411" s="1"/>
  <c r="F413"/>
  <c r="F417"/>
  <c r="F421"/>
  <c r="E48" i="147" s="1"/>
  <c r="E47" s="1"/>
  <c r="E46" s="1"/>
  <c r="F424" i="155"/>
  <c r="F423" s="1"/>
  <c r="F422" s="1"/>
  <c r="F427"/>
  <c r="F431"/>
  <c r="F435"/>
  <c r="F439"/>
  <c r="F438" s="1"/>
  <c r="F437" s="1"/>
  <c r="F436" s="1"/>
  <c r="F443"/>
  <c r="F447"/>
  <c r="F452"/>
  <c r="F451" s="1"/>
  <c r="F450" s="1"/>
  <c r="F455"/>
  <c r="F458"/>
  <c r="F457" s="1"/>
  <c r="F456" s="1"/>
  <c r="F463"/>
  <c r="F466"/>
  <c r="E109" i="147" s="1"/>
  <c r="E108" s="1"/>
  <c r="E107" s="1"/>
  <c r="F470" i="155"/>
  <c r="F469" s="1"/>
  <c r="F468" s="1"/>
  <c r="F467" s="1"/>
  <c r="F476"/>
  <c r="F475" s="1"/>
  <c r="F474" s="1"/>
  <c r="F473" s="1"/>
  <c r="F480"/>
  <c r="F479" s="1"/>
  <c r="F478" s="1"/>
  <c r="F477" s="1"/>
  <c r="F484"/>
  <c r="F483" s="1"/>
  <c r="F482" s="1"/>
  <c r="F481" s="1"/>
  <c r="F488"/>
  <c r="F487" s="1"/>
  <c r="F486" s="1"/>
  <c r="F485" s="1"/>
  <c r="F492"/>
  <c r="F491" s="1"/>
  <c r="F490" s="1"/>
  <c r="F489" s="1"/>
  <c r="F497"/>
  <c r="F504"/>
  <c r="F507"/>
  <c r="F506" s="1"/>
  <c r="F505" s="1"/>
  <c r="F510"/>
  <c r="F513"/>
  <c r="F516"/>
  <c r="F519"/>
  <c r="F518" s="1"/>
  <c r="F517" s="1"/>
  <c r="F523"/>
  <c r="F529"/>
  <c r="F533"/>
  <c r="F532" s="1"/>
  <c r="F531" s="1"/>
  <c r="F530" s="1"/>
  <c r="F537"/>
  <c r="F536" s="1"/>
  <c r="F535" s="1"/>
  <c r="F534" s="1"/>
  <c r="F544"/>
  <c r="F550"/>
  <c r="F549" s="1"/>
  <c r="F548" s="1"/>
  <c r="F547" s="1"/>
  <c r="F554"/>
  <c r="E121" i="147" s="1"/>
  <c r="E120" s="1"/>
  <c r="E119" s="1"/>
  <c r="E118" s="1"/>
  <c r="F560" i="155"/>
  <c r="E235" i="147" s="1"/>
  <c r="E234" s="1"/>
  <c r="E233" s="1"/>
  <c r="F563" i="155"/>
  <c r="F570"/>
  <c r="E39" i="147" s="1"/>
  <c r="E38" s="1"/>
  <c r="F572" i="155"/>
  <c r="F575"/>
  <c r="F580"/>
  <c r="E103" i="147" s="1"/>
  <c r="E102" s="1"/>
  <c r="E101" s="1"/>
  <c r="F584" i="155"/>
  <c r="F590"/>
  <c r="F592"/>
  <c r="F591" s="1"/>
  <c r="F595"/>
  <c r="F594" s="1"/>
  <c r="F593" s="1"/>
  <c r="F603"/>
  <c r="G491" i="154"/>
  <c r="F583" i="155" l="1"/>
  <c r="F582" s="1"/>
  <c r="F581" s="1"/>
  <c r="E113" i="147"/>
  <c r="E112" s="1"/>
  <c r="E111" s="1"/>
  <c r="E110" s="1"/>
  <c r="F571" i="155"/>
  <c r="E41" i="147"/>
  <c r="E40" s="1"/>
  <c r="E37" s="1"/>
  <c r="F515" i="155"/>
  <c r="F514" s="1"/>
  <c r="E91" i="147"/>
  <c r="E90" s="1"/>
  <c r="E89" s="1"/>
  <c r="F462" i="155"/>
  <c r="F461" s="1"/>
  <c r="E106" i="147"/>
  <c r="E105" s="1"/>
  <c r="E104" s="1"/>
  <c r="E100" s="1"/>
  <c r="F434" i="155"/>
  <c r="F433" s="1"/>
  <c r="F432" s="1"/>
  <c r="E62" i="147"/>
  <c r="E61" s="1"/>
  <c r="E60" s="1"/>
  <c r="E59" s="1"/>
  <c r="F403" i="155"/>
  <c r="F402" s="1"/>
  <c r="E16" i="147"/>
  <c r="E15" s="1"/>
  <c r="E14" s="1"/>
  <c r="F559" i="155"/>
  <c r="F558" s="1"/>
  <c r="F512"/>
  <c r="F511" s="1"/>
  <c r="E88" i="147"/>
  <c r="E87" s="1"/>
  <c r="E86" s="1"/>
  <c r="F503" i="155"/>
  <c r="F502" s="1"/>
  <c r="E79" i="147"/>
  <c r="E78" s="1"/>
  <c r="E77" s="1"/>
  <c r="F446" i="155"/>
  <c r="F445" s="1"/>
  <c r="F444" s="1"/>
  <c r="E74" i="147"/>
  <c r="E73" s="1"/>
  <c r="E72" s="1"/>
  <c r="E71" s="1"/>
  <c r="F430" i="155"/>
  <c r="F429" s="1"/>
  <c r="F428" s="1"/>
  <c r="E58" i="147"/>
  <c r="E57" s="1"/>
  <c r="E56" s="1"/>
  <c r="E55" s="1"/>
  <c r="F420" i="155"/>
  <c r="F419" s="1"/>
  <c r="F378"/>
  <c r="F377" s="1"/>
  <c r="E403" i="147"/>
  <c r="E402" s="1"/>
  <c r="E401" s="1"/>
  <c r="F360" i="155"/>
  <c r="F359" s="1"/>
  <c r="E25" i="147"/>
  <c r="E24" s="1"/>
  <c r="E23" s="1"/>
  <c r="F351" i="155"/>
  <c r="F350" s="1"/>
  <c r="E13" i="147"/>
  <c r="E12" s="1"/>
  <c r="E11" s="1"/>
  <c r="F579" i="155"/>
  <c r="F578" s="1"/>
  <c r="F577" s="1"/>
  <c r="F569"/>
  <c r="F543"/>
  <c r="F542" s="1"/>
  <c r="F541" s="1"/>
  <c r="F540" s="1"/>
  <c r="F539" s="1"/>
  <c r="F538" s="1"/>
  <c r="E475" i="147"/>
  <c r="E474" s="1"/>
  <c r="E473" s="1"/>
  <c r="E472" s="1"/>
  <c r="F522" i="155"/>
  <c r="F521" s="1"/>
  <c r="F520" s="1"/>
  <c r="E98" i="147"/>
  <c r="E97" s="1"/>
  <c r="E96" s="1"/>
  <c r="E95" s="1"/>
  <c r="E85"/>
  <c r="E84" s="1"/>
  <c r="E83" s="1"/>
  <c r="F496" i="155"/>
  <c r="F495" s="1"/>
  <c r="F494" s="1"/>
  <c r="F493" s="1"/>
  <c r="F442"/>
  <c r="F441" s="1"/>
  <c r="F440" s="1"/>
  <c r="E70" i="147"/>
  <c r="E69" s="1"/>
  <c r="E68" s="1"/>
  <c r="E67" s="1"/>
  <c r="F426" i="155"/>
  <c r="F425" s="1"/>
  <c r="E54" i="147"/>
  <c r="E53" s="1"/>
  <c r="E52" s="1"/>
  <c r="F416" i="155"/>
  <c r="F415" s="1"/>
  <c r="F414" s="1"/>
  <c r="E35" i="147"/>
  <c r="E34" s="1"/>
  <c r="E33" s="1"/>
  <c r="E32" s="1"/>
  <c r="F384" i="155"/>
  <c r="F383" s="1"/>
  <c r="F374"/>
  <c r="F373" s="1"/>
  <c r="F372" s="1"/>
  <c r="E22" i="147"/>
  <c r="E21" s="1"/>
  <c r="E20" s="1"/>
  <c r="E117"/>
  <c r="E116" s="1"/>
  <c r="E115" s="1"/>
  <c r="E114" s="1"/>
  <c r="F589" i="155"/>
  <c r="F588" s="1"/>
  <c r="F587" s="1"/>
  <c r="F586" s="1"/>
  <c r="F585" s="1"/>
  <c r="F574"/>
  <c r="F573" s="1"/>
  <c r="E44" i="147"/>
  <c r="E43" s="1"/>
  <c r="E42" s="1"/>
  <c r="F562" i="155"/>
  <c r="F561" s="1"/>
  <c r="I7" i="199" s="1"/>
  <c r="E238" i="147"/>
  <c r="E237" s="1"/>
  <c r="E236" s="1"/>
  <c r="E232" s="1"/>
  <c r="F553" i="155"/>
  <c r="F552" s="1"/>
  <c r="F551" s="1"/>
  <c r="F546" s="1"/>
  <c r="E94" i="147"/>
  <c r="E93" s="1"/>
  <c r="E92" s="1"/>
  <c r="F509" i="155"/>
  <c r="F508" s="1"/>
  <c r="F465"/>
  <c r="F464" s="1"/>
  <c r="F454"/>
  <c r="F453" s="1"/>
  <c r="E82" i="147"/>
  <c r="E81" s="1"/>
  <c r="E80" s="1"/>
  <c r="E19"/>
  <c r="E18" s="1"/>
  <c r="E17" s="1"/>
  <c r="E406"/>
  <c r="E405" s="1"/>
  <c r="E404" s="1"/>
  <c r="E400" s="1"/>
  <c r="E66"/>
  <c r="E65" s="1"/>
  <c r="E64" s="1"/>
  <c r="E63" s="1"/>
  <c r="F357" i="155"/>
  <c r="F356" s="1"/>
  <c r="F362"/>
  <c r="E51" i="147"/>
  <c r="E50" s="1"/>
  <c r="E49" s="1"/>
  <c r="E45" s="1"/>
  <c r="F528" i="155"/>
  <c r="F527" s="1"/>
  <c r="F526" s="1"/>
  <c r="F525" s="1"/>
  <c r="F524" s="1"/>
  <c r="F472"/>
  <c r="F471" s="1"/>
  <c r="F449"/>
  <c r="F448" s="1"/>
  <c r="F401"/>
  <c r="F16" i="154"/>
  <c r="F19"/>
  <c r="F23"/>
  <c r="F32"/>
  <c r="F46"/>
  <c r="F53"/>
  <c r="F56"/>
  <c r="F73"/>
  <c r="F83"/>
  <c r="F86"/>
  <c r="F100"/>
  <c r="F105"/>
  <c r="F108"/>
  <c r="F110"/>
  <c r="F120"/>
  <c r="F127"/>
  <c r="F136"/>
  <c r="K21" i="200"/>
  <c r="J21"/>
  <c r="I21"/>
  <c r="H21"/>
  <c r="G21"/>
  <c r="F21"/>
  <c r="E21"/>
  <c r="D21"/>
  <c r="K16"/>
  <c r="E16"/>
  <c r="D16"/>
  <c r="K15"/>
  <c r="K14" s="1"/>
  <c r="K13" s="1"/>
  <c r="K12" s="1"/>
  <c r="E15"/>
  <c r="G15" s="1"/>
  <c r="J14"/>
  <c r="J13" s="1"/>
  <c r="J12" s="1"/>
  <c r="I14"/>
  <c r="H13"/>
  <c r="H12" s="1"/>
  <c r="F14"/>
  <c r="E14"/>
  <c r="E13" s="1"/>
  <c r="E12" s="1"/>
  <c r="D14"/>
  <c r="D13" s="1"/>
  <c r="D12" s="1"/>
  <c r="I13"/>
  <c r="I12" s="1"/>
  <c r="F13"/>
  <c r="F12" s="1"/>
  <c r="K11"/>
  <c r="K10" s="1"/>
  <c r="D11"/>
  <c r="G11" s="1"/>
  <c r="G10" s="1"/>
  <c r="J10"/>
  <c r="I10"/>
  <c r="H10"/>
  <c r="F10"/>
  <c r="E10"/>
  <c r="K9"/>
  <c r="E9"/>
  <c r="G9" s="1"/>
  <c r="K8"/>
  <c r="E8"/>
  <c r="D8"/>
  <c r="G8" s="1"/>
  <c r="J7"/>
  <c r="I7"/>
  <c r="H7"/>
  <c r="F7"/>
  <c r="E7"/>
  <c r="E6" s="1"/>
  <c r="E17" s="1"/>
  <c r="F349" i="155" l="1"/>
  <c r="F348" s="1"/>
  <c r="F347" s="1"/>
  <c r="F346" s="1"/>
  <c r="F568"/>
  <c r="F376"/>
  <c r="F371" s="1"/>
  <c r="F370" s="1"/>
  <c r="F501"/>
  <c r="F500" s="1"/>
  <c r="F499" s="1"/>
  <c r="F498" s="1"/>
  <c r="E99" i="147"/>
  <c r="E36"/>
  <c r="F576" i="155"/>
  <c r="F557"/>
  <c r="F556" s="1"/>
  <c r="F555" s="1"/>
  <c r="F567"/>
  <c r="F566" s="1"/>
  <c r="F418"/>
  <c r="F400" s="1"/>
  <c r="F399" s="1"/>
  <c r="F398" s="1"/>
  <c r="E76" i="147"/>
  <c r="E75" s="1"/>
  <c r="F460" i="155"/>
  <c r="F459" s="1"/>
  <c r="E10" i="147"/>
  <c r="I6" i="200"/>
  <c r="I17" s="1"/>
  <c r="F545" i="155"/>
  <c r="G7" i="200"/>
  <c r="G6" s="1"/>
  <c r="H6"/>
  <c r="H17" s="1"/>
  <c r="D10"/>
  <c r="G16"/>
  <c r="G14" s="1"/>
  <c r="G13" s="1"/>
  <c r="G12" s="1"/>
  <c r="K7"/>
  <c r="K6" s="1"/>
  <c r="K17" s="1"/>
  <c r="J6"/>
  <c r="J17" s="1"/>
  <c r="D7"/>
  <c r="D6" s="1"/>
  <c r="D17" s="1"/>
  <c r="F6"/>
  <c r="F17" s="1"/>
  <c r="F565" i="155" l="1"/>
  <c r="F564" s="1"/>
  <c r="G17" i="200"/>
  <c r="E11" i="198" l="1"/>
  <c r="E14" s="1"/>
  <c r="D11"/>
  <c r="D14" s="1"/>
  <c r="F852" i="154" l="1"/>
  <c r="F588"/>
  <c r="F549"/>
  <c r="F671" l="1"/>
  <c r="F644"/>
  <c r="E595" i="155"/>
  <c r="E594" s="1"/>
  <c r="E593" s="1"/>
  <c r="F20"/>
  <c r="E20"/>
  <c r="F154"/>
  <c r="F153" s="1"/>
  <c r="F152" s="1"/>
  <c r="E154"/>
  <c r="E153" s="1"/>
  <c r="E152" s="1"/>
  <c r="F55"/>
  <c r="F54" s="1"/>
  <c r="F53" s="1"/>
  <c r="E55"/>
  <c r="E54" s="1"/>
  <c r="E53" s="1"/>
  <c r="F37"/>
  <c r="E37"/>
  <c r="E36" s="1"/>
  <c r="E35" s="1"/>
  <c r="G634" i="154"/>
  <c r="G633" s="1"/>
  <c r="F634"/>
  <c r="F633" s="1"/>
  <c r="G25"/>
  <c r="G24" s="1"/>
  <c r="F25"/>
  <c r="F24" s="1"/>
  <c r="G553"/>
  <c r="G552" s="1"/>
  <c r="F553"/>
  <c r="F552" s="1"/>
  <c r="G590"/>
  <c r="G589" s="1"/>
  <c r="F590"/>
  <c r="F589" s="1"/>
  <c r="G856"/>
  <c r="G855" s="1"/>
  <c r="F856"/>
  <c r="F855" s="1"/>
  <c r="F696"/>
  <c r="F19" i="155" l="1"/>
  <c r="F18" s="1"/>
  <c r="E512" i="147"/>
  <c r="E511" s="1"/>
  <c r="E510" s="1"/>
  <c r="F36" i="155"/>
  <c r="F35" s="1"/>
  <c r="E529" i="147"/>
  <c r="E528" s="1"/>
  <c r="E527" s="1"/>
  <c r="E19" i="155"/>
  <c r="E18" s="1"/>
  <c r="D512" i="147"/>
  <c r="D511" s="1"/>
  <c r="D510" s="1"/>
  <c r="D529"/>
  <c r="D528" s="1"/>
  <c r="D527" s="1"/>
  <c r="F267" i="155"/>
  <c r="F266" s="1"/>
  <c r="F265" s="1"/>
  <c r="F264" s="1"/>
  <c r="F263" s="1"/>
  <c r="E267"/>
  <c r="E266" s="1"/>
  <c r="E265" s="1"/>
  <c r="E264" s="1"/>
  <c r="E263" s="1"/>
  <c r="G205" i="154"/>
  <c r="G204" s="1"/>
  <c r="G203" s="1"/>
  <c r="G202" s="1"/>
  <c r="F205"/>
  <c r="F204" s="1"/>
  <c r="F203" s="1"/>
  <c r="F202" s="1"/>
  <c r="F560"/>
  <c r="D489" i="147" s="1"/>
  <c r="F234" i="154" l="1"/>
  <c r="F240"/>
  <c r="F231"/>
  <c r="F32" i="155" l="1"/>
  <c r="E32"/>
  <c r="E31" s="1"/>
  <c r="G20" i="154"/>
  <c r="F20"/>
  <c r="F365"/>
  <c r="F368"/>
  <c r="F383"/>
  <c r="F386"/>
  <c r="F250"/>
  <c r="F259"/>
  <c r="F772" i="155"/>
  <c r="E772"/>
  <c r="E771" s="1"/>
  <c r="E770" s="1"/>
  <c r="F502" i="154"/>
  <c r="G504"/>
  <c r="G503" s="1"/>
  <c r="F504"/>
  <c r="F503" s="1"/>
  <c r="F766" i="155"/>
  <c r="E766"/>
  <c r="E765" s="1"/>
  <c r="E764" s="1"/>
  <c r="G498" i="154"/>
  <c r="G497" s="1"/>
  <c r="F498"/>
  <c r="F497" s="1"/>
  <c r="F802"/>
  <c r="F808"/>
  <c r="E519" i="155"/>
  <c r="E518" s="1"/>
  <c r="E517" s="1"/>
  <c r="G810" i="154"/>
  <c r="G809" s="1"/>
  <c r="F810"/>
  <c r="F809" s="1"/>
  <c r="G302"/>
  <c r="G301" s="1"/>
  <c r="F302"/>
  <c r="F301" s="1"/>
  <c r="F300"/>
  <c r="F297"/>
  <c r="E507" i="155"/>
  <c r="E506" s="1"/>
  <c r="E505" s="1"/>
  <c r="G293" i="154"/>
  <c r="G292" s="1"/>
  <c r="F293"/>
  <c r="F292" s="1"/>
  <c r="G798"/>
  <c r="G797" s="1"/>
  <c r="F798"/>
  <c r="F797" s="1"/>
  <c r="E455" i="155"/>
  <c r="E454" s="1"/>
  <c r="E453" s="1"/>
  <c r="E458"/>
  <c r="G746" i="154"/>
  <c r="G745" s="1"/>
  <c r="F746"/>
  <c r="F745" s="1"/>
  <c r="G749"/>
  <c r="G748" s="1"/>
  <c r="F749"/>
  <c r="F748" s="1"/>
  <c r="E413" i="155"/>
  <c r="E412" s="1"/>
  <c r="E411" s="1"/>
  <c r="G704" i="154"/>
  <c r="G703" s="1"/>
  <c r="F704"/>
  <c r="F703" s="1"/>
  <c r="F744"/>
  <c r="F699"/>
  <c r="E410" i="155"/>
  <c r="E409" s="1"/>
  <c r="E408" s="1"/>
  <c r="G701" i="154"/>
  <c r="G700" s="1"/>
  <c r="F701"/>
  <c r="F700" s="1"/>
  <c r="E361" i="155"/>
  <c r="G652" i="154"/>
  <c r="G651" s="1"/>
  <c r="F652"/>
  <c r="F651" s="1"/>
  <c r="F647"/>
  <c r="E358" i="155"/>
  <c r="E357" s="1"/>
  <c r="E356" s="1"/>
  <c r="F765" l="1"/>
  <c r="F764" s="1"/>
  <c r="E243" i="147"/>
  <c r="E242" s="1"/>
  <c r="E241" s="1"/>
  <c r="F771" i="155"/>
  <c r="F770" s="1"/>
  <c r="E249" i="147"/>
  <c r="E248" s="1"/>
  <c r="E247" s="1"/>
  <c r="F31" i="155"/>
  <c r="E524" i="147"/>
  <c r="E523" s="1"/>
  <c r="D94"/>
  <c r="D93" s="1"/>
  <c r="D92" s="1"/>
  <c r="D524"/>
  <c r="D523" s="1"/>
  <c r="D249"/>
  <c r="D248" s="1"/>
  <c r="D247" s="1"/>
  <c r="D243"/>
  <c r="D242" s="1"/>
  <c r="D241" s="1"/>
  <c r="D82"/>
  <c r="D81" s="1"/>
  <c r="D80" s="1"/>
  <c r="E457" i="155"/>
  <c r="E456" s="1"/>
  <c r="D25" i="147"/>
  <c r="D24" s="1"/>
  <c r="D23" s="1"/>
  <c r="D22"/>
  <c r="D21" s="1"/>
  <c r="D20" s="1"/>
  <c r="E360" i="155"/>
  <c r="E359" s="1"/>
  <c r="G649" i="154" l="1"/>
  <c r="G648" s="1"/>
  <c r="F649"/>
  <c r="F648" s="1"/>
  <c r="F380"/>
  <c r="F362"/>
  <c r="F291"/>
  <c r="F796"/>
  <c r="F723"/>
  <c r="F100" i="155" l="1"/>
  <c r="E100"/>
  <c r="E99" s="1"/>
  <c r="G70" i="154"/>
  <c r="F70"/>
  <c r="F99" i="155" l="1"/>
  <c r="E419" i="147"/>
  <c r="E418" s="1"/>
  <c r="D419"/>
  <c r="D418" s="1"/>
  <c r="F657" i="154" l="1"/>
  <c r="F667"/>
  <c r="F632" l="1"/>
  <c r="F630"/>
  <c r="F719"/>
  <c r="F776"/>
  <c r="F713" l="1"/>
  <c r="F716"/>
  <c r="F731"/>
  <c r="F768"/>
  <c r="F522"/>
  <c r="F478"/>
  <c r="F469"/>
  <c r="F459"/>
  <c r="F451"/>
  <c r="F253"/>
  <c r="F237"/>
  <c r="F244"/>
  <c r="F247"/>
  <c r="F213"/>
  <c r="F198"/>
  <c r="F187"/>
  <c r="F621"/>
  <c r="F618"/>
  <c r="F177" l="1"/>
  <c r="F471" l="1"/>
  <c r="F467"/>
  <c r="F805" l="1"/>
  <c r="F180" i="155" l="1"/>
  <c r="F179" s="1"/>
  <c r="E180"/>
  <c r="E179" s="1"/>
  <c r="F178" l="1"/>
  <c r="F177" s="1"/>
  <c r="E394" i="147"/>
  <c r="E393" s="1"/>
  <c r="E392" s="1"/>
  <c r="E391" s="1"/>
  <c r="D394"/>
  <c r="E178" i="155"/>
  <c r="E177" s="1"/>
  <c r="E470"/>
  <c r="E469" s="1"/>
  <c r="E468" s="1"/>
  <c r="E467" s="1"/>
  <c r="F572" i="154" l="1"/>
  <c r="F599"/>
  <c r="F344" i="155" l="1"/>
  <c r="F343" s="1"/>
  <c r="F342" s="1"/>
  <c r="F341" s="1"/>
  <c r="F340" s="1"/>
  <c r="E344"/>
  <c r="E343" s="1"/>
  <c r="E342" s="1"/>
  <c r="E341" s="1"/>
  <c r="E340" s="1"/>
  <c r="G282" i="154"/>
  <c r="G281" s="1"/>
  <c r="G280" s="1"/>
  <c r="G279" s="1"/>
  <c r="F282"/>
  <c r="F281" s="1"/>
  <c r="F280" s="1"/>
  <c r="F279" s="1"/>
  <c r="F241" i="155"/>
  <c r="E484" i="147" s="1"/>
  <c r="E483" s="1"/>
  <c r="E482" s="1"/>
  <c r="E481" s="1"/>
  <c r="E480" s="1"/>
  <c r="E241" i="155"/>
  <c r="E240" s="1"/>
  <c r="E239" s="1"/>
  <c r="E238" s="1"/>
  <c r="E237" s="1"/>
  <c r="F119"/>
  <c r="E119"/>
  <c r="D458" i="147" s="1"/>
  <c r="D457" s="1"/>
  <c r="D456" s="1"/>
  <c r="D455" s="1"/>
  <c r="G575" i="154"/>
  <c r="G574" s="1"/>
  <c r="G573" s="1"/>
  <c r="F575"/>
  <c r="F574" s="1"/>
  <c r="F573" s="1"/>
  <c r="G186"/>
  <c r="G185" s="1"/>
  <c r="G184" s="1"/>
  <c r="G183" s="1"/>
  <c r="G182" s="1"/>
  <c r="G181" s="1"/>
  <c r="F186"/>
  <c r="F185" s="1"/>
  <c r="F184" s="1"/>
  <c r="F183" s="1"/>
  <c r="F182" s="1"/>
  <c r="F181" s="1"/>
  <c r="F569"/>
  <c r="F201"/>
  <c r="F151"/>
  <c r="F144"/>
  <c r="F161"/>
  <c r="F169"/>
  <c r="F645" i="155"/>
  <c r="E645"/>
  <c r="D163" i="147" s="1"/>
  <c r="D162" s="1"/>
  <c r="D161" s="1"/>
  <c r="D160" s="1"/>
  <c r="G397" i="154"/>
  <c r="G396" s="1"/>
  <c r="G395" s="1"/>
  <c r="F397"/>
  <c r="F396" s="1"/>
  <c r="F395" s="1"/>
  <c r="F476"/>
  <c r="F540"/>
  <c r="G130"/>
  <c r="G129" s="1"/>
  <c r="G128" s="1"/>
  <c r="F130"/>
  <c r="F129" s="1"/>
  <c r="F128" s="1"/>
  <c r="F404"/>
  <c r="F780"/>
  <c r="F685"/>
  <c r="F674"/>
  <c r="F834"/>
  <c r="F832"/>
  <c r="G761"/>
  <c r="G760" s="1"/>
  <c r="G759" s="1"/>
  <c r="F761"/>
  <c r="F760" s="1"/>
  <c r="F759" s="1"/>
  <c r="E369" i="155"/>
  <c r="E368" s="1"/>
  <c r="E367" s="1"/>
  <c r="E366" s="1"/>
  <c r="G660" i="154"/>
  <c r="G659" s="1"/>
  <c r="G658" s="1"/>
  <c r="F660"/>
  <c r="F659" s="1"/>
  <c r="F658" s="1"/>
  <c r="F148"/>
  <c r="F644" i="155" l="1"/>
  <c r="F643" s="1"/>
  <c r="F642" s="1"/>
  <c r="E163" i="147"/>
  <c r="E162" s="1"/>
  <c r="E161" s="1"/>
  <c r="E160" s="1"/>
  <c r="F118" i="155"/>
  <c r="F117" s="1"/>
  <c r="F116" s="1"/>
  <c r="E458" i="147"/>
  <c r="E457" s="1"/>
  <c r="E456" s="1"/>
  <c r="E455" s="1"/>
  <c r="D484"/>
  <c r="D483" s="1"/>
  <c r="D482" s="1"/>
  <c r="D481" s="1"/>
  <c r="D480" s="1"/>
  <c r="F240" i="155"/>
  <c r="F239" s="1"/>
  <c r="F238" s="1"/>
  <c r="F237" s="1"/>
  <c r="E118"/>
  <c r="E117" s="1"/>
  <c r="E116" s="1"/>
  <c r="E644"/>
  <c r="E643" s="1"/>
  <c r="E642" s="1"/>
  <c r="D393" i="147"/>
  <c r="D392" s="1"/>
  <c r="D391" s="1"/>
  <c r="F317" i="155" l="1"/>
  <c r="E317"/>
  <c r="E316" s="1"/>
  <c r="E315" s="1"/>
  <c r="G255" i="154"/>
  <c r="G254" s="1"/>
  <c r="F255"/>
  <c r="F254" s="1"/>
  <c r="F316" i="155" l="1"/>
  <c r="F315" s="1"/>
  <c r="E305" i="147"/>
  <c r="E304" s="1"/>
  <c r="E303" s="1"/>
  <c r="D305"/>
  <c r="D304" s="1"/>
  <c r="D303" s="1"/>
  <c r="F266" i="154" l="1"/>
  <c r="F154"/>
  <c r="E439" i="155"/>
  <c r="G730" i="154"/>
  <c r="G729" s="1"/>
  <c r="G728" s="1"/>
  <c r="F730"/>
  <c r="F729" l="1"/>
  <c r="F728" s="1"/>
  <c r="D66" i="147"/>
  <c r="D65" s="1"/>
  <c r="D64" s="1"/>
  <c r="D63" s="1"/>
  <c r="E438" i="155"/>
  <c r="E437" s="1"/>
  <c r="E436" s="1"/>
  <c r="F356" i="154"/>
  <c r="E603" i="155" s="1"/>
  <c r="D117" i="147" s="1"/>
  <c r="E447" i="155"/>
  <c r="D74" i="147" s="1"/>
  <c r="D73" s="1"/>
  <c r="D72" s="1"/>
  <c r="D71" s="1"/>
  <c r="G738" i="154"/>
  <c r="G737" s="1"/>
  <c r="G736" s="1"/>
  <c r="F738"/>
  <c r="F737" s="1"/>
  <c r="F736" s="1"/>
  <c r="E446" i="155" l="1"/>
  <c r="E445" s="1"/>
  <c r="E444" s="1"/>
  <c r="F323"/>
  <c r="E323"/>
  <c r="E322" s="1"/>
  <c r="E321" s="1"/>
  <c r="G261" i="154"/>
  <c r="G260" s="1"/>
  <c r="F261"/>
  <c r="F260" s="1"/>
  <c r="F322" i="155" l="1"/>
  <c r="F321" s="1"/>
  <c r="E311" i="147"/>
  <c r="E310" s="1"/>
  <c r="E309" s="1"/>
  <c r="D311"/>
  <c r="D310" s="1"/>
  <c r="D309" s="1"/>
  <c r="F195" i="154" l="1"/>
  <c r="F292" i="155" l="1"/>
  <c r="E292"/>
  <c r="E291" s="1"/>
  <c r="E290" s="1"/>
  <c r="G230" i="154"/>
  <c r="G229" s="1"/>
  <c r="F230"/>
  <c r="F229" s="1"/>
  <c r="F228"/>
  <c r="F615"/>
  <c r="F291" i="155" l="1"/>
  <c r="F290" s="1"/>
  <c r="E280" i="147"/>
  <c r="E279" s="1"/>
  <c r="E278" s="1"/>
  <c r="D280"/>
  <c r="D279" s="1"/>
  <c r="D278" s="1"/>
  <c r="F668" i="155" l="1"/>
  <c r="E668"/>
  <c r="E667" s="1"/>
  <c r="E666" s="1"/>
  <c r="E665" s="1"/>
  <c r="E664" s="1"/>
  <c r="G420" i="154"/>
  <c r="G419" s="1"/>
  <c r="G418" s="1"/>
  <c r="G417" s="1"/>
  <c r="F420"/>
  <c r="F419" s="1"/>
  <c r="F418" s="1"/>
  <c r="F417" s="1"/>
  <c r="E497" i="155"/>
  <c r="E496" s="1"/>
  <c r="E495" s="1"/>
  <c r="E494" s="1"/>
  <c r="E493" s="1"/>
  <c r="G788" i="154"/>
  <c r="G787" s="1"/>
  <c r="G786" s="1"/>
  <c r="G785" s="1"/>
  <c r="F788"/>
  <c r="F787" s="1"/>
  <c r="F786" s="1"/>
  <c r="F785" s="1"/>
  <c r="F301" i="155"/>
  <c r="E301"/>
  <c r="E300" s="1"/>
  <c r="E299" s="1"/>
  <c r="F295"/>
  <c r="E295"/>
  <c r="E294" s="1"/>
  <c r="E293" s="1"/>
  <c r="G239" i="154"/>
  <c r="G238" s="1"/>
  <c r="F239"/>
  <c r="F238" s="1"/>
  <c r="G233"/>
  <c r="G232" s="1"/>
  <c r="F233"/>
  <c r="F232" s="1"/>
  <c r="E476" i="155"/>
  <c r="E475" s="1"/>
  <c r="E474" s="1"/>
  <c r="E473" s="1"/>
  <c r="G767" i="154"/>
  <c r="G766" s="1"/>
  <c r="G765" s="1"/>
  <c r="F767"/>
  <c r="F766" s="1"/>
  <c r="F765" s="1"/>
  <c r="F677"/>
  <c r="F141" i="155"/>
  <c r="E141"/>
  <c r="D497" i="147" s="1"/>
  <c r="D496" s="1"/>
  <c r="G580" i="154"/>
  <c r="F580"/>
  <c r="F583"/>
  <c r="F223"/>
  <c r="F512"/>
  <c r="E365" i="155"/>
  <c r="E364" s="1"/>
  <c r="E363" s="1"/>
  <c r="E362" s="1"/>
  <c r="G656" i="154"/>
  <c r="G655" s="1"/>
  <c r="G654" s="1"/>
  <c r="F656"/>
  <c r="F655" s="1"/>
  <c r="F654" s="1"/>
  <c r="F140" i="155" l="1"/>
  <c r="E497" i="147"/>
  <c r="E496" s="1"/>
  <c r="F300" i="155"/>
  <c r="F299" s="1"/>
  <c r="E289" i="147"/>
  <c r="E288" s="1"/>
  <c r="E287" s="1"/>
  <c r="F294" i="155"/>
  <c r="F293" s="1"/>
  <c r="E283" i="147"/>
  <c r="E282" s="1"/>
  <c r="E281" s="1"/>
  <c r="F667" i="155"/>
  <c r="F666" s="1"/>
  <c r="F665" s="1"/>
  <c r="F664" s="1"/>
  <c r="E493" i="147"/>
  <c r="E492" s="1"/>
  <c r="E491" s="1"/>
  <c r="E490" s="1"/>
  <c r="D493"/>
  <c r="D492" s="1"/>
  <c r="D491" s="1"/>
  <c r="D490" s="1"/>
  <c r="D289"/>
  <c r="D288" s="1"/>
  <c r="D287" s="1"/>
  <c r="D283"/>
  <c r="D282" s="1"/>
  <c r="D281" s="1"/>
  <c r="E140" i="155"/>
  <c r="F681" i="154"/>
  <c r="F689"/>
  <c r="F622" i="155" l="1"/>
  <c r="F621" s="1"/>
  <c r="F620" s="1"/>
  <c r="E140" i="147" s="1"/>
  <c r="E139" s="1"/>
  <c r="E138" s="1"/>
  <c r="G374" i="154"/>
  <c r="G373" s="1"/>
  <c r="F375"/>
  <c r="E622" i="155" s="1"/>
  <c r="E621" s="1"/>
  <c r="E620" s="1"/>
  <c r="D140" i="147" s="1"/>
  <c r="D139" s="1"/>
  <c r="D138" s="1"/>
  <c r="F374" i="154" l="1"/>
  <c r="F373" s="1"/>
  <c r="F372"/>
  <c r="F394"/>
  <c r="F416" l="1"/>
  <c r="F408"/>
  <c r="F651" i="155"/>
  <c r="E651"/>
  <c r="E650" s="1"/>
  <c r="E649" s="1"/>
  <c r="E648" s="1"/>
  <c r="G403" i="154"/>
  <c r="G402" s="1"/>
  <c r="G401" s="1"/>
  <c r="F403"/>
  <c r="F402" s="1"/>
  <c r="F401" s="1"/>
  <c r="F222" i="155"/>
  <c r="E222"/>
  <c r="D362" i="147" s="1"/>
  <c r="D361" s="1"/>
  <c r="D360" s="1"/>
  <c r="D359" s="1"/>
  <c r="G172" i="154"/>
  <c r="G171" s="1"/>
  <c r="G170" s="1"/>
  <c r="F172"/>
  <c r="F171" s="1"/>
  <c r="F170" s="1"/>
  <c r="F314" i="155"/>
  <c r="E314"/>
  <c r="E313" s="1"/>
  <c r="E312" s="1"/>
  <c r="G252" i="154"/>
  <c r="G251" s="1"/>
  <c r="F252"/>
  <c r="F251" s="1"/>
  <c r="F313" i="155" l="1"/>
  <c r="F312" s="1"/>
  <c r="E302" i="147"/>
  <c r="E301" s="1"/>
  <c r="E300" s="1"/>
  <c r="F221" i="155"/>
  <c r="F220" s="1"/>
  <c r="F219" s="1"/>
  <c r="E362" i="147"/>
  <c r="E361" s="1"/>
  <c r="E360" s="1"/>
  <c r="E359" s="1"/>
  <c r="F650" i="155"/>
  <c r="F649" s="1"/>
  <c r="F648" s="1"/>
  <c r="E399" i="147"/>
  <c r="E398" s="1"/>
  <c r="E397" s="1"/>
  <c r="E396" s="1"/>
  <c r="E221" i="155"/>
  <c r="E220" s="1"/>
  <c r="E219" s="1"/>
  <c r="D302" i="147"/>
  <c r="D301" s="1"/>
  <c r="D300" s="1"/>
  <c r="G582" i="154" l="1"/>
  <c r="F582"/>
  <c r="F143" i="155"/>
  <c r="E499" i="147" s="1"/>
  <c r="E498" s="1"/>
  <c r="E495" s="1"/>
  <c r="E494" s="1"/>
  <c r="E143" i="155"/>
  <c r="D499" i="147" s="1"/>
  <c r="F307" i="154"/>
  <c r="E443" i="155"/>
  <c r="E442" s="1"/>
  <c r="E441" s="1"/>
  <c r="E440" s="1"/>
  <c r="G734" i="154"/>
  <c r="G733" s="1"/>
  <c r="G732" s="1"/>
  <c r="F734"/>
  <c r="F733" s="1"/>
  <c r="F732" s="1"/>
  <c r="F579" l="1"/>
  <c r="F578" s="1"/>
  <c r="G579"/>
  <c r="G578" s="1"/>
  <c r="D70" i="147"/>
  <c r="D69" s="1"/>
  <c r="D68" s="1"/>
  <c r="D67" s="1"/>
  <c r="F715" i="155" l="1"/>
  <c r="E715"/>
  <c r="G617" i="154"/>
  <c r="G616" s="1"/>
  <c r="F617"/>
  <c r="F616" s="1"/>
  <c r="F714" i="155" l="1"/>
  <c r="F713" s="1"/>
  <c r="E451" i="147"/>
  <c r="E450" s="1"/>
  <c r="E449" s="1"/>
  <c r="E714" i="155"/>
  <c r="E713" s="1"/>
  <c r="D451" i="147"/>
  <c r="D450" s="1"/>
  <c r="D449" s="1"/>
  <c r="F776" i="155"/>
  <c r="E776"/>
  <c r="D253" i="147" s="1"/>
  <c r="D252" s="1"/>
  <c r="D251" s="1"/>
  <c r="G508" i="154"/>
  <c r="G507" s="1"/>
  <c r="F508"/>
  <c r="F507" s="1"/>
  <c r="F775" i="155" l="1"/>
  <c r="F774" s="1"/>
  <c r="E253" i="147"/>
  <c r="E252" s="1"/>
  <c r="E251" s="1"/>
  <c r="E775" i="155"/>
  <c r="E774" s="1"/>
  <c r="F200"/>
  <c r="E200"/>
  <c r="D340" i="147" s="1"/>
  <c r="D339" s="1"/>
  <c r="D338" s="1"/>
  <c r="G150" i="154"/>
  <c r="G149" s="1"/>
  <c r="F150"/>
  <c r="F149" s="1"/>
  <c r="F180"/>
  <c r="F164"/>
  <c r="E375" i="155"/>
  <c r="D399" i="147" s="1"/>
  <c r="G666" i="154"/>
  <c r="G665" s="1"/>
  <c r="G664" s="1"/>
  <c r="F666"/>
  <c r="F665" s="1"/>
  <c r="F664" s="1"/>
  <c r="E480" i="155"/>
  <c r="E479" s="1"/>
  <c r="E478" s="1"/>
  <c r="E477" s="1"/>
  <c r="G771" i="154"/>
  <c r="G770" s="1"/>
  <c r="G769" s="1"/>
  <c r="F771"/>
  <c r="F770" s="1"/>
  <c r="F769" s="1"/>
  <c r="F142" i="155"/>
  <c r="E142"/>
  <c r="G99" i="154"/>
  <c r="G98" s="1"/>
  <c r="G97" s="1"/>
  <c r="F99"/>
  <c r="F98" s="1"/>
  <c r="F97" s="1"/>
  <c r="E327" i="155"/>
  <c r="E326" s="1"/>
  <c r="E325" s="1"/>
  <c r="E324" s="1"/>
  <c r="G265" i="154"/>
  <c r="G264" s="1"/>
  <c r="G263" s="1"/>
  <c r="F265"/>
  <c r="F264" s="1"/>
  <c r="F263" s="1"/>
  <c r="E331" i="155"/>
  <c r="E330" s="1"/>
  <c r="E329" s="1"/>
  <c r="E328" s="1"/>
  <c r="G269" i="154"/>
  <c r="G268" s="1"/>
  <c r="G267" s="1"/>
  <c r="F269"/>
  <c r="F268" s="1"/>
  <c r="F267" s="1"/>
  <c r="F390"/>
  <c r="E513" i="155"/>
  <c r="E512" s="1"/>
  <c r="E511" s="1"/>
  <c r="G804" i="154"/>
  <c r="G803" s="1"/>
  <c r="F804"/>
  <c r="F803" s="1"/>
  <c r="F199" i="155" l="1"/>
  <c r="F198" s="1"/>
  <c r="E340" i="147"/>
  <c r="E339" s="1"/>
  <c r="E338" s="1"/>
  <c r="E139" i="155"/>
  <c r="E138" s="1"/>
  <c r="F139"/>
  <c r="F138" s="1"/>
  <c r="E374"/>
  <c r="E373" s="1"/>
  <c r="E372" s="1"/>
  <c r="D398" i="147"/>
  <c r="D397" s="1"/>
  <c r="E199" i="155"/>
  <c r="E198" s="1"/>
  <c r="D498" i="147"/>
  <c r="D495" s="1"/>
  <c r="D315"/>
  <c r="D314" s="1"/>
  <c r="D313" s="1"/>
  <c r="D312" s="1"/>
  <c r="D319"/>
  <c r="D318" s="1"/>
  <c r="D317" s="1"/>
  <c r="D316" s="1"/>
  <c r="D88"/>
  <c r="D87" s="1"/>
  <c r="D86" s="1"/>
  <c r="D396" l="1"/>
  <c r="E424" i="155"/>
  <c r="G715" i="154"/>
  <c r="G714" s="1"/>
  <c r="F715"/>
  <c r="F714" s="1"/>
  <c r="E423" i="155" l="1"/>
  <c r="E422" s="1"/>
  <c r="D51" i="147"/>
  <c r="D50" s="1"/>
  <c r="D49" s="1"/>
  <c r="F758" i="154" l="1"/>
  <c r="F837"/>
  <c r="F709"/>
  <c r="F289" i="155"/>
  <c r="E289"/>
  <c r="E288" s="1"/>
  <c r="E287" s="1"/>
  <c r="G227" i="154"/>
  <c r="G226" s="1"/>
  <c r="F227"/>
  <c r="F226" s="1"/>
  <c r="G194"/>
  <c r="F256" i="155" s="1"/>
  <c r="F194" i="154"/>
  <c r="E256" i="155" s="1"/>
  <c r="E255" s="1"/>
  <c r="E254" s="1"/>
  <c r="F755" i="154"/>
  <c r="F534"/>
  <c r="F867"/>
  <c r="F865"/>
  <c r="F255" i="155" l="1"/>
  <c r="F254" s="1"/>
  <c r="E374" i="147"/>
  <c r="E373" s="1"/>
  <c r="E372" s="1"/>
  <c r="F288" i="155"/>
  <c r="F287" s="1"/>
  <c r="E277" i="147"/>
  <c r="E276" s="1"/>
  <c r="E275" s="1"/>
  <c r="F193" i="154"/>
  <c r="G193"/>
  <c r="D277" i="147"/>
  <c r="D276" s="1"/>
  <c r="D275" s="1"/>
  <c r="D374"/>
  <c r="D373" s="1"/>
  <c r="D372" s="1"/>
  <c r="D18" i="193" l="1"/>
  <c r="D17" s="1"/>
  <c r="D16" s="1"/>
  <c r="D14"/>
  <c r="D13" s="1"/>
  <c r="D12" s="1"/>
  <c r="D11" l="1"/>
  <c r="D20" s="1"/>
  <c r="F864" i="154" l="1"/>
  <c r="E421" i="155" l="1"/>
  <c r="D48" i="147" s="1"/>
  <c r="D47" s="1"/>
  <c r="D46" s="1"/>
  <c r="F712" i="154"/>
  <c r="F711" s="1"/>
  <c r="G712"/>
  <c r="G711" s="1"/>
  <c r="E379" i="155"/>
  <c r="D403" i="147" s="1"/>
  <c r="D402" s="1"/>
  <c r="D401" s="1"/>
  <c r="G670" i="154"/>
  <c r="G669" s="1"/>
  <c r="F670"/>
  <c r="F669" s="1"/>
  <c r="F216"/>
  <c r="E420" i="155" l="1"/>
  <c r="E419" s="1"/>
  <c r="E378"/>
  <c r="E377" s="1"/>
  <c r="F779" l="1"/>
  <c r="E256" i="147" s="1"/>
  <c r="E255" s="1"/>
  <c r="E254" s="1"/>
  <c r="E250" s="1"/>
  <c r="E779" i="155"/>
  <c r="E570"/>
  <c r="E569" s="1"/>
  <c r="E572"/>
  <c r="D41" i="147" s="1"/>
  <c r="E575" i="155"/>
  <c r="E574" s="1"/>
  <c r="E573" s="1"/>
  <c r="G833" i="154"/>
  <c r="G831"/>
  <c r="F831"/>
  <c r="F833"/>
  <c r="G836"/>
  <c r="G835" s="1"/>
  <c r="F836"/>
  <c r="F835" s="1"/>
  <c r="E533" i="155"/>
  <c r="E537"/>
  <c r="G820" i="154"/>
  <c r="G819" s="1"/>
  <c r="G818" s="1"/>
  <c r="F820"/>
  <c r="F819" s="1"/>
  <c r="F818" s="1"/>
  <c r="G824"/>
  <c r="G823" s="1"/>
  <c r="G822" s="1"/>
  <c r="F824"/>
  <c r="F823" s="1"/>
  <c r="F822" s="1"/>
  <c r="E488" i="155"/>
  <c r="E487" s="1"/>
  <c r="E486" s="1"/>
  <c r="E485" s="1"/>
  <c r="E492"/>
  <c r="E491" s="1"/>
  <c r="E490" s="1"/>
  <c r="E489" s="1"/>
  <c r="G779" i="154"/>
  <c r="G778" s="1"/>
  <c r="G777" s="1"/>
  <c r="F779"/>
  <c r="F778" s="1"/>
  <c r="F777" s="1"/>
  <c r="G783"/>
  <c r="G782" s="1"/>
  <c r="G781" s="1"/>
  <c r="F783"/>
  <c r="F782" s="1"/>
  <c r="F781" s="1"/>
  <c r="E393" i="155"/>
  <c r="E392" s="1"/>
  <c r="E391" s="1"/>
  <c r="E390" s="1"/>
  <c r="E397"/>
  <c r="E396" s="1"/>
  <c r="E395" s="1"/>
  <c r="E394" s="1"/>
  <c r="G688" i="154"/>
  <c r="G687" s="1"/>
  <c r="G686" s="1"/>
  <c r="G684"/>
  <c r="G683" s="1"/>
  <c r="G682" s="1"/>
  <c r="F684"/>
  <c r="F683" s="1"/>
  <c r="F682" s="1"/>
  <c r="F688"/>
  <c r="F687" s="1"/>
  <c r="F686" s="1"/>
  <c r="F718" i="155"/>
  <c r="E718"/>
  <c r="E717" s="1"/>
  <c r="E716" s="1"/>
  <c r="G620" i="154"/>
  <c r="G619" s="1"/>
  <c r="F620"/>
  <c r="F619" s="1"/>
  <c r="F717" i="155" l="1"/>
  <c r="F716" s="1"/>
  <c r="E454" i="147"/>
  <c r="E453" s="1"/>
  <c r="E452" s="1"/>
  <c r="E571" i="155"/>
  <c r="E568" s="1"/>
  <c r="E567" s="1"/>
  <c r="E566" s="1"/>
  <c r="G830" i="154"/>
  <c r="G829" s="1"/>
  <c r="G828" s="1"/>
  <c r="E778" i="155"/>
  <c r="E777" s="1"/>
  <c r="E773" s="1"/>
  <c r="D256" i="147"/>
  <c r="D255" s="1"/>
  <c r="D254" s="1"/>
  <c r="D250" s="1"/>
  <c r="F778" i="155"/>
  <c r="F777" s="1"/>
  <c r="F773" s="1"/>
  <c r="F830" i="154"/>
  <c r="F829" s="1"/>
  <c r="F828" s="1"/>
  <c r="D39" i="147"/>
  <c r="D44"/>
  <c r="D454"/>
  <c r="D453" s="1"/>
  <c r="D452" s="1"/>
  <c r="F789" i="155"/>
  <c r="F788" s="1"/>
  <c r="F787" s="1"/>
  <c r="F786" s="1"/>
  <c r="F793"/>
  <c r="F792" s="1"/>
  <c r="F791" s="1"/>
  <c r="F790" s="1"/>
  <c r="E789"/>
  <c r="E788" s="1"/>
  <c r="E787" s="1"/>
  <c r="E786" s="1"/>
  <c r="E793"/>
  <c r="E792" s="1"/>
  <c r="E791" s="1"/>
  <c r="E790" s="1"/>
  <c r="G521" i="154"/>
  <c r="G520" s="1"/>
  <c r="G519" s="1"/>
  <c r="F521"/>
  <c r="F520" s="1"/>
  <c r="F519" s="1"/>
  <c r="G525"/>
  <c r="G524" s="1"/>
  <c r="G523" s="1"/>
  <c r="F525"/>
  <c r="F524" s="1"/>
  <c r="F523" s="1"/>
  <c r="F755" i="155"/>
  <c r="F754" s="1"/>
  <c r="F753" s="1"/>
  <c r="F752" s="1"/>
  <c r="F759"/>
  <c r="E755"/>
  <c r="E754" s="1"/>
  <c r="E753" s="1"/>
  <c r="E752" s="1"/>
  <c r="E759"/>
  <c r="E758" s="1"/>
  <c r="E757" s="1"/>
  <c r="E756" s="1"/>
  <c r="G487" i="154"/>
  <c r="G486" s="1"/>
  <c r="G485" s="1"/>
  <c r="F487"/>
  <c r="F486" s="1"/>
  <c r="F485" s="1"/>
  <c r="G490"/>
  <c r="G489" s="1"/>
  <c r="F491"/>
  <c r="F490" s="1"/>
  <c r="F489" s="1"/>
  <c r="F659" i="155"/>
  <c r="F658" s="1"/>
  <c r="F657" s="1"/>
  <c r="F656" s="1"/>
  <c r="F663"/>
  <c r="E659"/>
  <c r="E658" s="1"/>
  <c r="E657" s="1"/>
  <c r="E656" s="1"/>
  <c r="E663"/>
  <c r="G415" i="154"/>
  <c r="G414" s="1"/>
  <c r="G413" s="1"/>
  <c r="G411"/>
  <c r="G410" s="1"/>
  <c r="G409" s="1"/>
  <c r="F411"/>
  <c r="F410" s="1"/>
  <c r="F409" s="1"/>
  <c r="F415"/>
  <c r="F414" s="1"/>
  <c r="F413" s="1"/>
  <c r="G316"/>
  <c r="G315" s="1"/>
  <c r="G314" s="1"/>
  <c r="G320"/>
  <c r="G319" s="1"/>
  <c r="G318" s="1"/>
  <c r="E532" i="155"/>
  <c r="E531" s="1"/>
  <c r="E530" s="1"/>
  <c r="E536"/>
  <c r="E535" s="1"/>
  <c r="E534" s="1"/>
  <c r="F316" i="154"/>
  <c r="F315" s="1"/>
  <c r="F314" s="1"/>
  <c r="F320"/>
  <c r="F319" s="1"/>
  <c r="F318" s="1"/>
  <c r="E523" i="155"/>
  <c r="E522" s="1"/>
  <c r="E521" s="1"/>
  <c r="E520" s="1"/>
  <c r="G306" i="154"/>
  <c r="G305" s="1"/>
  <c r="G304" s="1"/>
  <c r="F306"/>
  <c r="F305" s="1"/>
  <c r="F304" s="1"/>
  <c r="F758" i="155" l="1"/>
  <c r="F757" s="1"/>
  <c r="F756" s="1"/>
  <c r="E429" i="147"/>
  <c r="E428" s="1"/>
  <c r="D429"/>
  <c r="D428" s="1"/>
  <c r="F662" i="155"/>
  <c r="F661" s="1"/>
  <c r="F660" s="1"/>
  <c r="E662"/>
  <c r="E661" s="1"/>
  <c r="E660" s="1"/>
  <c r="D98" i="147"/>
  <c r="D97" s="1"/>
  <c r="D96" s="1"/>
  <c r="D95" s="1"/>
  <c r="F284" i="155" l="1"/>
  <c r="E284"/>
  <c r="D272" i="147" s="1"/>
  <c r="D271" s="1"/>
  <c r="D270" s="1"/>
  <c r="F281" i="155"/>
  <c r="E269" i="147" s="1"/>
  <c r="E268" s="1"/>
  <c r="E267" s="1"/>
  <c r="E281" i="155"/>
  <c r="E280" s="1"/>
  <c r="E279" s="1"/>
  <c r="G222" i="154"/>
  <c r="G221" s="1"/>
  <c r="G219"/>
  <c r="G218" s="1"/>
  <c r="F219"/>
  <c r="F218" s="1"/>
  <c r="F222"/>
  <c r="F221" s="1"/>
  <c r="F185" i="155"/>
  <c r="E185"/>
  <c r="G135" i="154"/>
  <c r="G134" s="1"/>
  <c r="G133" s="1"/>
  <c r="G132" s="1"/>
  <c r="F135"/>
  <c r="F134" s="1"/>
  <c r="F133" s="1"/>
  <c r="F132" s="1"/>
  <c r="F102" i="155"/>
  <c r="E421" i="147" s="1"/>
  <c r="E420" s="1"/>
  <c r="F106" i="155"/>
  <c r="E427" i="147" s="1"/>
  <c r="E426" s="1"/>
  <c r="E425" s="1"/>
  <c r="E424" s="1"/>
  <c r="E102" i="155"/>
  <c r="D421" i="147" s="1"/>
  <c r="D420" s="1"/>
  <c r="E106" i="155"/>
  <c r="D427" i="147" s="1"/>
  <c r="D426" s="1"/>
  <c r="D425" s="1"/>
  <c r="G72" i="154"/>
  <c r="F72"/>
  <c r="G76"/>
  <c r="G75" s="1"/>
  <c r="G74" s="1"/>
  <c r="F76"/>
  <c r="F75" s="1"/>
  <c r="F74" s="1"/>
  <c r="F283" i="155" l="1"/>
  <c r="F282" s="1"/>
  <c r="E272" i="147"/>
  <c r="E271" s="1"/>
  <c r="E270" s="1"/>
  <c r="E266" s="1"/>
  <c r="G69" i="154"/>
  <c r="G68" s="1"/>
  <c r="F69"/>
  <c r="F68" s="1"/>
  <c r="F101" i="155"/>
  <c r="F105"/>
  <c r="F104" s="1"/>
  <c r="F103" s="1"/>
  <c r="F184"/>
  <c r="F183" s="1"/>
  <c r="F182" s="1"/>
  <c r="E423" i="147" s="1"/>
  <c r="E422" s="1"/>
  <c r="E417" s="1"/>
  <c r="E416" s="1"/>
  <c r="D424"/>
  <c r="F280" i="155"/>
  <c r="F279" s="1"/>
  <c r="D269" i="147"/>
  <c r="D268" s="1"/>
  <c r="D267" s="1"/>
  <c r="D266" s="1"/>
  <c r="E283" i="155"/>
  <c r="E282" s="1"/>
  <c r="E278" s="1"/>
  <c r="F217" i="154"/>
  <c r="G217"/>
  <c r="E184" i="155"/>
  <c r="E183" s="1"/>
  <c r="E182" s="1"/>
  <c r="E105"/>
  <c r="E104" s="1"/>
  <c r="E103" s="1"/>
  <c r="E101"/>
  <c r="F278" l="1"/>
  <c r="F98"/>
  <c r="F97" s="1"/>
  <c r="E98"/>
  <c r="E97" s="1"/>
  <c r="F181"/>
  <c r="E181"/>
  <c r="D423" i="147"/>
  <c r="F320" i="155" l="1"/>
  <c r="E320"/>
  <c r="E319" s="1"/>
  <c r="E318" s="1"/>
  <c r="G258" i="154"/>
  <c r="G257" s="1"/>
  <c r="F258"/>
  <c r="F257" s="1"/>
  <c r="F319" i="155" l="1"/>
  <c r="F318" s="1"/>
  <c r="E308" i="147"/>
  <c r="E307" s="1"/>
  <c r="E306" s="1"/>
  <c r="D308"/>
  <c r="D307" s="1"/>
  <c r="D306" s="1"/>
  <c r="E311" i="155" l="1"/>
  <c r="F96" l="1"/>
  <c r="E413" i="147" s="1"/>
  <c r="E412" s="1"/>
  <c r="E96" i="155"/>
  <c r="E95" s="1"/>
  <c r="E94" s="1"/>
  <c r="E93" s="1"/>
  <c r="E92" s="1"/>
  <c r="G66" i="154"/>
  <c r="G65" s="1"/>
  <c r="G64" s="1"/>
  <c r="G63" s="1"/>
  <c r="F66"/>
  <c r="F65" s="1"/>
  <c r="F64" s="1"/>
  <c r="F63" s="1"/>
  <c r="F95" i="155" l="1"/>
  <c r="F94" s="1"/>
  <c r="F93" s="1"/>
  <c r="F92" s="1"/>
  <c r="D413" i="147"/>
  <c r="D412" s="1"/>
  <c r="D502" l="1"/>
  <c r="D501" s="1"/>
  <c r="D500" s="1"/>
  <c r="D494" s="1"/>
  <c r="D488"/>
  <c r="D487" s="1"/>
  <c r="D486" s="1"/>
  <c r="D390"/>
  <c r="D389" s="1"/>
  <c r="D388" s="1"/>
  <c r="D387" s="1"/>
  <c r="F807" i="155"/>
  <c r="E214" i="147" s="1"/>
  <c r="E213" s="1"/>
  <c r="E212" s="1"/>
  <c r="E807" i="155"/>
  <c r="F804"/>
  <c r="E211" i="147" s="1"/>
  <c r="E210" s="1"/>
  <c r="E209" s="1"/>
  <c r="E804" i="155"/>
  <c r="E803" s="1"/>
  <c r="E802" s="1"/>
  <c r="F801"/>
  <c r="E208" i="147" s="1"/>
  <c r="E207" s="1"/>
  <c r="E206" s="1"/>
  <c r="E801" i="155"/>
  <c r="D208" i="147" s="1"/>
  <c r="D207" s="1"/>
  <c r="D206" s="1"/>
  <c r="F785" i="155"/>
  <c r="F784" s="1"/>
  <c r="F783" s="1"/>
  <c r="F782" s="1"/>
  <c r="F781" s="1"/>
  <c r="F780" s="1"/>
  <c r="E785"/>
  <c r="E784" s="1"/>
  <c r="E783" s="1"/>
  <c r="E782" s="1"/>
  <c r="E781" s="1"/>
  <c r="E780" s="1"/>
  <c r="F769"/>
  <c r="E769"/>
  <c r="D246" i="147" s="1"/>
  <c r="D245" s="1"/>
  <c r="D244" s="1"/>
  <c r="D240" s="1"/>
  <c r="F751" i="155"/>
  <c r="F750" s="1"/>
  <c r="F749" s="1"/>
  <c r="F748" s="1"/>
  <c r="E751"/>
  <c r="E750" s="1"/>
  <c r="E749" s="1"/>
  <c r="E748" s="1"/>
  <c r="F745"/>
  <c r="E745"/>
  <c r="F743"/>
  <c r="E743"/>
  <c r="F741"/>
  <c r="E741"/>
  <c r="F738"/>
  <c r="E180" i="147" s="1"/>
  <c r="E179" s="1"/>
  <c r="E738" i="155"/>
  <c r="F736"/>
  <c r="E178" i="147" s="1"/>
  <c r="E177" s="1"/>
  <c r="E736" i="155"/>
  <c r="F734"/>
  <c r="E176" i="147" s="1"/>
  <c r="E175" s="1"/>
  <c r="E174" s="1"/>
  <c r="E734" i="155"/>
  <c r="F730"/>
  <c r="E172" i="147" s="1"/>
  <c r="E171" s="1"/>
  <c r="E170" s="1"/>
  <c r="E169" s="1"/>
  <c r="E730" i="155"/>
  <c r="E729" s="1"/>
  <c r="E728" s="1"/>
  <c r="E727" s="1"/>
  <c r="F726"/>
  <c r="E168" i="147" s="1"/>
  <c r="E167" s="1"/>
  <c r="E166" s="1"/>
  <c r="E165" s="1"/>
  <c r="E726" i="155"/>
  <c r="E725" s="1"/>
  <c r="E724" s="1"/>
  <c r="E723" s="1"/>
  <c r="F712"/>
  <c r="E712"/>
  <c r="F706"/>
  <c r="E706"/>
  <c r="F700"/>
  <c r="E700"/>
  <c r="E699" s="1"/>
  <c r="F698"/>
  <c r="E29" i="147" s="1"/>
  <c r="E28" s="1"/>
  <c r="E698" i="155"/>
  <c r="D29" i="147" s="1"/>
  <c r="D28" s="1"/>
  <c r="F691" i="155"/>
  <c r="E201" i="147" s="1"/>
  <c r="E200" s="1"/>
  <c r="E691" i="155"/>
  <c r="F689"/>
  <c r="E689"/>
  <c r="F685"/>
  <c r="E192" i="147" s="1"/>
  <c r="E191" s="1"/>
  <c r="E190" s="1"/>
  <c r="E189" s="1"/>
  <c r="E685" i="155"/>
  <c r="F678"/>
  <c r="E220" i="147" s="1"/>
  <c r="E219" s="1"/>
  <c r="E678" i="155"/>
  <c r="D220" i="147" s="1"/>
  <c r="D219" s="1"/>
  <c r="F676" i="155"/>
  <c r="E676"/>
  <c r="D218" i="147" s="1"/>
  <c r="D217" s="1"/>
  <c r="F655" i="155"/>
  <c r="E655"/>
  <c r="E654" s="1"/>
  <c r="E653" s="1"/>
  <c r="E652" s="1"/>
  <c r="E647" s="1"/>
  <c r="F641"/>
  <c r="E641"/>
  <c r="D159" i="147" s="1"/>
  <c r="D158" s="1"/>
  <c r="D157" s="1"/>
  <c r="D156" s="1"/>
  <c r="F637" i="155"/>
  <c r="E637"/>
  <c r="D155" i="147" s="1"/>
  <c r="D154" s="1"/>
  <c r="D153" s="1"/>
  <c r="D152" s="1"/>
  <c r="F633" i="155"/>
  <c r="E151" i="147" s="1"/>
  <c r="E150" s="1"/>
  <c r="E149" s="1"/>
  <c r="E633" i="155"/>
  <c r="E632" s="1"/>
  <c r="E631" s="1"/>
  <c r="F630"/>
  <c r="E148" i="147" s="1"/>
  <c r="E147" s="1"/>
  <c r="E146" s="1"/>
  <c r="E142" s="1"/>
  <c r="E630" i="155"/>
  <c r="E629" s="1"/>
  <c r="E628" s="1"/>
  <c r="F627"/>
  <c r="E145" i="147" s="1"/>
  <c r="E144" s="1"/>
  <c r="E143" s="1"/>
  <c r="E627" i="155"/>
  <c r="E626" s="1"/>
  <c r="E625" s="1"/>
  <c r="F619"/>
  <c r="E137" i="147" s="1"/>
  <c r="E136" s="1"/>
  <c r="E135" s="1"/>
  <c r="E134" s="1"/>
  <c r="E619" i="155"/>
  <c r="F615"/>
  <c r="E133" i="147" s="1"/>
  <c r="E132" s="1"/>
  <c r="E131" s="1"/>
  <c r="E615" i="155"/>
  <c r="E614" s="1"/>
  <c r="E613" s="1"/>
  <c r="F612"/>
  <c r="E130" i="147" s="1"/>
  <c r="E129" s="1"/>
  <c r="E128" s="1"/>
  <c r="E124" s="1"/>
  <c r="E612" i="155"/>
  <c r="E611" s="1"/>
  <c r="E610" s="1"/>
  <c r="F609"/>
  <c r="E127" i="147" s="1"/>
  <c r="E126" s="1"/>
  <c r="E125" s="1"/>
  <c r="E609" i="155"/>
  <c r="E608" s="1"/>
  <c r="E607" s="1"/>
  <c r="E592"/>
  <c r="E591" s="1"/>
  <c r="E590"/>
  <c r="E589" s="1"/>
  <c r="E584"/>
  <c r="E583" s="1"/>
  <c r="E582" s="1"/>
  <c r="E581" s="1"/>
  <c r="E580"/>
  <c r="E563"/>
  <c r="E560"/>
  <c r="E554"/>
  <c r="E553" s="1"/>
  <c r="E552" s="1"/>
  <c r="E551" s="1"/>
  <c r="E550"/>
  <c r="E549" s="1"/>
  <c r="E548" s="1"/>
  <c r="E547" s="1"/>
  <c r="E544"/>
  <c r="D475" i="147" s="1"/>
  <c r="D474" s="1"/>
  <c r="D473" s="1"/>
  <c r="D472" s="1"/>
  <c r="E529" i="155"/>
  <c r="E516"/>
  <c r="E515" s="1"/>
  <c r="E514" s="1"/>
  <c r="E504"/>
  <c r="D79" i="147" s="1"/>
  <c r="D78" s="1"/>
  <c r="D77" s="1"/>
  <c r="E484" i="155"/>
  <c r="E483" s="1"/>
  <c r="E482" s="1"/>
  <c r="E481" s="1"/>
  <c r="E472" s="1"/>
  <c r="E466"/>
  <c r="D109" i="147" s="1"/>
  <c r="D108" s="1"/>
  <c r="D107" s="1"/>
  <c r="E463" i="155"/>
  <c r="D106" i="147" s="1"/>
  <c r="D105" s="1"/>
  <c r="D104" s="1"/>
  <c r="E452" i="155"/>
  <c r="E451" s="1"/>
  <c r="E450" s="1"/>
  <c r="E435"/>
  <c r="D62" i="147" s="1"/>
  <c r="D61" s="1"/>
  <c r="D60" s="1"/>
  <c r="D59" s="1"/>
  <c r="E431" i="155"/>
  <c r="E427"/>
  <c r="E426" s="1"/>
  <c r="E425" s="1"/>
  <c r="E418" s="1"/>
  <c r="E417"/>
  <c r="E416" s="1"/>
  <c r="E415" s="1"/>
  <c r="E414" s="1"/>
  <c r="E407"/>
  <c r="E406" s="1"/>
  <c r="E405" s="1"/>
  <c r="E404"/>
  <c r="E403" s="1"/>
  <c r="E402" s="1"/>
  <c r="E389"/>
  <c r="E388" s="1"/>
  <c r="E387" s="1"/>
  <c r="E386" s="1"/>
  <c r="E385"/>
  <c r="D409" i="147" s="1"/>
  <c r="D408" s="1"/>
  <c r="D407" s="1"/>
  <c r="E382" i="155"/>
  <c r="E355"/>
  <c r="E354" s="1"/>
  <c r="E353" s="1"/>
  <c r="E352"/>
  <c r="E351" s="1"/>
  <c r="E350" s="1"/>
  <c r="F339"/>
  <c r="E339"/>
  <c r="D327" i="147" s="1"/>
  <c r="D326" s="1"/>
  <c r="D325" s="1"/>
  <c r="E336" i="155"/>
  <c r="E335" s="1"/>
  <c r="E334" s="1"/>
  <c r="F311"/>
  <c r="E299" i="147" s="1"/>
  <c r="E298" s="1"/>
  <c r="E297" s="1"/>
  <c r="E310" i="155"/>
  <c r="E309" s="1"/>
  <c r="F308"/>
  <c r="E296" i="147" s="1"/>
  <c r="E295" s="1"/>
  <c r="E294" s="1"/>
  <c r="E308" i="155"/>
  <c r="E307" s="1"/>
  <c r="E306" s="1"/>
  <c r="F305"/>
  <c r="E293" i="147" s="1"/>
  <c r="E292" s="1"/>
  <c r="E291" s="1"/>
  <c r="E305" i="155"/>
  <c r="E304" s="1"/>
  <c r="E303" s="1"/>
  <c r="F298"/>
  <c r="E286" i="147" s="1"/>
  <c r="E285" s="1"/>
  <c r="E284" s="1"/>
  <c r="E274" s="1"/>
  <c r="E298" i="155"/>
  <c r="F277"/>
  <c r="E265" i="147" s="1"/>
  <c r="E264" s="1"/>
  <c r="E263" s="1"/>
  <c r="F274" i="155"/>
  <c r="E274"/>
  <c r="D262" i="147" s="1"/>
  <c r="D261" s="1"/>
  <c r="D260" s="1"/>
  <c r="F262" i="155"/>
  <c r="E380" i="147" s="1"/>
  <c r="E379" s="1"/>
  <c r="E378" s="1"/>
  <c r="E262" i="155"/>
  <c r="D380" i="147" s="1"/>
  <c r="D379" s="1"/>
  <c r="D378" s="1"/>
  <c r="F259" i="155"/>
  <c r="E259"/>
  <c r="E258" s="1"/>
  <c r="E257" s="1"/>
  <c r="F249"/>
  <c r="E441" i="147" s="1"/>
  <c r="E440" s="1"/>
  <c r="E439" s="1"/>
  <c r="E249" i="155"/>
  <c r="D441" i="147" s="1"/>
  <c r="D440" s="1"/>
  <c r="D439" s="1"/>
  <c r="F236" i="155"/>
  <c r="E444" i="147" s="1"/>
  <c r="E443" s="1"/>
  <c r="E442" s="1"/>
  <c r="E236" i="155"/>
  <c r="F229"/>
  <c r="E369" i="147" s="1"/>
  <c r="E368" s="1"/>
  <c r="E367" s="1"/>
  <c r="E229" i="155"/>
  <c r="D369" i="147" s="1"/>
  <c r="D368" s="1"/>
  <c r="D367" s="1"/>
  <c r="F226" i="155"/>
  <c r="E226"/>
  <c r="F218"/>
  <c r="E218"/>
  <c r="D358" i="147" s="1"/>
  <c r="D357" s="1"/>
  <c r="D356" s="1"/>
  <c r="D355" s="1"/>
  <c r="F213" i="155"/>
  <c r="E213"/>
  <c r="D353" i="147" s="1"/>
  <c r="D352" s="1"/>
  <c r="D351" s="1"/>
  <c r="F210" i="155"/>
  <c r="E350" i="147" s="1"/>
  <c r="E349" s="1"/>
  <c r="E348" s="1"/>
  <c r="E210" i="155"/>
  <c r="F207"/>
  <c r="E207"/>
  <c r="D347" i="147" s="1"/>
  <c r="D346" s="1"/>
  <c r="D345" s="1"/>
  <c r="F203" i="155"/>
  <c r="E343" i="147" s="1"/>
  <c r="E342" s="1"/>
  <c r="E341" s="1"/>
  <c r="E203" i="155"/>
  <c r="E202" s="1"/>
  <c r="E201" s="1"/>
  <c r="F197"/>
  <c r="E337" i="147" s="1"/>
  <c r="E336" s="1"/>
  <c r="E335" s="1"/>
  <c r="E197" i="155"/>
  <c r="F193"/>
  <c r="E193"/>
  <c r="D333" i="147" s="1"/>
  <c r="D332" s="1"/>
  <c r="D331" s="1"/>
  <c r="D330" s="1"/>
  <c r="F176" i="155"/>
  <c r="E386" i="147" s="1"/>
  <c r="E385" s="1"/>
  <c r="E384" s="1"/>
  <c r="E383" s="1"/>
  <c r="E382" s="1"/>
  <c r="E176" i="155"/>
  <c r="F169"/>
  <c r="E532" i="147" s="1"/>
  <c r="E531" s="1"/>
  <c r="E530" s="1"/>
  <c r="E169" i="155"/>
  <c r="F161"/>
  <c r="E539" i="147" s="1"/>
  <c r="E538" s="1"/>
  <c r="E161" i="155"/>
  <c r="F159"/>
  <c r="E537" i="147" s="1"/>
  <c r="E536" s="1"/>
  <c r="E159" i="155"/>
  <c r="E158" s="1"/>
  <c r="F157"/>
  <c r="E157"/>
  <c r="F151"/>
  <c r="E151"/>
  <c r="E150" s="1"/>
  <c r="E149" s="1"/>
  <c r="F148"/>
  <c r="E519" i="147" s="1"/>
  <c r="E518" s="1"/>
  <c r="E517" s="1"/>
  <c r="E148" i="155"/>
  <c r="D519" i="147" s="1"/>
  <c r="D518" s="1"/>
  <c r="D517" s="1"/>
  <c r="F136" i="155"/>
  <c r="E479" i="147" s="1"/>
  <c r="E478" s="1"/>
  <c r="E477" s="1"/>
  <c r="E476" s="1"/>
  <c r="E471" s="1"/>
  <c r="E136" i="155"/>
  <c r="E135" s="1"/>
  <c r="E134" s="1"/>
  <c r="E133" s="1"/>
  <c r="E132" s="1"/>
  <c r="F131"/>
  <c r="E131"/>
  <c r="D470" i="147" s="1"/>
  <c r="D469" s="1"/>
  <c r="D468" s="1"/>
  <c r="D467" s="1"/>
  <c r="F127" i="155"/>
  <c r="E127"/>
  <c r="D466" i="147" s="1"/>
  <c r="D465" s="1"/>
  <c r="D464" s="1"/>
  <c r="F124" i="155"/>
  <c r="E124"/>
  <c r="D463" i="147" s="1"/>
  <c r="D462" s="1"/>
  <c r="D461" s="1"/>
  <c r="F115" i="155"/>
  <c r="E438" i="147" s="1"/>
  <c r="E437" s="1"/>
  <c r="E436" s="1"/>
  <c r="E115" i="155"/>
  <c r="D438" i="147" s="1"/>
  <c r="D437" s="1"/>
  <c r="D436" s="1"/>
  <c r="F112" i="155"/>
  <c r="E435" i="147" s="1"/>
  <c r="E434" s="1"/>
  <c r="E433" s="1"/>
  <c r="E432" s="1"/>
  <c r="E112" i="155"/>
  <c r="D435" i="147" s="1"/>
  <c r="D434" s="1"/>
  <c r="D433" s="1"/>
  <c r="F91" i="155"/>
  <c r="F90" s="1"/>
  <c r="F89" s="1"/>
  <c r="F88" s="1"/>
  <c r="F87" s="1"/>
  <c r="E91"/>
  <c r="E90" s="1"/>
  <c r="E89" s="1"/>
  <c r="E88" s="1"/>
  <c r="E87" s="1"/>
  <c r="F85"/>
  <c r="E231" i="147" s="1"/>
  <c r="E230" s="1"/>
  <c r="E229" s="1"/>
  <c r="E85" i="155"/>
  <c r="D231" i="147" s="1"/>
  <c r="D230" s="1"/>
  <c r="D229" s="1"/>
  <c r="F82" i="155"/>
  <c r="E227" i="147" s="1"/>
  <c r="E82" i="155"/>
  <c r="E81" s="1"/>
  <c r="E80" s="1"/>
  <c r="F78"/>
  <c r="E78"/>
  <c r="D204" i="147" s="1"/>
  <c r="D203" s="1"/>
  <c r="D202" s="1"/>
  <c r="F75" i="155"/>
  <c r="E196" i="147" s="1"/>
  <c r="E195" s="1"/>
  <c r="E194" s="1"/>
  <c r="E75" i="155"/>
  <c r="D196" i="147" s="1"/>
  <c r="D195" s="1"/>
  <c r="D194" s="1"/>
  <c r="E68" i="155"/>
  <c r="E67" s="1"/>
  <c r="E66" s="1"/>
  <c r="E65" s="1"/>
  <c r="E64" s="1"/>
  <c r="E63" s="1"/>
  <c r="C13" i="143" s="1"/>
  <c r="F62" i="155"/>
  <c r="E228" i="147" s="1"/>
  <c r="E62" i="155"/>
  <c r="D228" i="147" s="1"/>
  <c r="F52" i="155"/>
  <c r="F51" s="1"/>
  <c r="E52"/>
  <c r="E51" s="1"/>
  <c r="F50"/>
  <c r="F49" s="1"/>
  <c r="E50"/>
  <c r="E49" s="1"/>
  <c r="F43"/>
  <c r="F42" s="1"/>
  <c r="F41" s="1"/>
  <c r="F40" s="1"/>
  <c r="F39" s="1"/>
  <c r="F38" s="1"/>
  <c r="D10" i="143" s="1"/>
  <c r="E43" i="155"/>
  <c r="E42" s="1"/>
  <c r="E41" s="1"/>
  <c r="E40" s="1"/>
  <c r="E39" s="1"/>
  <c r="E38" s="1"/>
  <c r="C10" i="143" s="1"/>
  <c r="F34" i="155"/>
  <c r="E526" i="147" s="1"/>
  <c r="E525" s="1"/>
  <c r="E34" i="155"/>
  <c r="F30"/>
  <c r="F29" s="1"/>
  <c r="E30"/>
  <c r="E29" s="1"/>
  <c r="F27"/>
  <c r="E516" i="147" s="1"/>
  <c r="E515" s="1"/>
  <c r="E514" s="1"/>
  <c r="E27" i="155"/>
  <c r="F17"/>
  <c r="E509" i="147" s="1"/>
  <c r="E508" s="1"/>
  <c r="E17" i="155"/>
  <c r="D509" i="147" s="1"/>
  <c r="D508" s="1"/>
  <c r="F15" i="155"/>
  <c r="E507" i="147" s="1"/>
  <c r="E506" s="1"/>
  <c r="E15" i="155"/>
  <c r="G866" i="154"/>
  <c r="F866"/>
  <c r="G864"/>
  <c r="G853"/>
  <c r="F853"/>
  <c r="G851"/>
  <c r="F851"/>
  <c r="G845"/>
  <c r="G844" s="1"/>
  <c r="G843" s="1"/>
  <c r="F845"/>
  <c r="F844" s="1"/>
  <c r="F843" s="1"/>
  <c r="G841"/>
  <c r="G840" s="1"/>
  <c r="G839" s="1"/>
  <c r="F841"/>
  <c r="F840" s="1"/>
  <c r="F839" s="1"/>
  <c r="G816"/>
  <c r="G815" s="1"/>
  <c r="G814" s="1"/>
  <c r="F816"/>
  <c r="F815" s="1"/>
  <c r="F814" s="1"/>
  <c r="G807"/>
  <c r="G806" s="1"/>
  <c r="F807"/>
  <c r="F806" s="1"/>
  <c r="E510" i="155"/>
  <c r="E509" s="1"/>
  <c r="E508" s="1"/>
  <c r="G795" i="154"/>
  <c r="G794" s="1"/>
  <c r="F795"/>
  <c r="F794" s="1"/>
  <c r="G775"/>
  <c r="G774" s="1"/>
  <c r="G773" s="1"/>
  <c r="G764" s="1"/>
  <c r="F775"/>
  <c r="F774" s="1"/>
  <c r="F773" s="1"/>
  <c r="F764" s="1"/>
  <c r="G757"/>
  <c r="G756" s="1"/>
  <c r="F757"/>
  <c r="F756" s="1"/>
  <c r="G754"/>
  <c r="G753" s="1"/>
  <c r="F754"/>
  <c r="F753" s="1"/>
  <c r="G743"/>
  <c r="G742" s="1"/>
  <c r="F743"/>
  <c r="F742" s="1"/>
  <c r="G726"/>
  <c r="G725" s="1"/>
  <c r="G724" s="1"/>
  <c r="F726"/>
  <c r="F725" s="1"/>
  <c r="F724" s="1"/>
  <c r="G722"/>
  <c r="G721" s="1"/>
  <c r="G720" s="1"/>
  <c r="F722"/>
  <c r="F721" s="1"/>
  <c r="F720" s="1"/>
  <c r="G718"/>
  <c r="G717" s="1"/>
  <c r="G710" s="1"/>
  <c r="F718"/>
  <c r="F717" s="1"/>
  <c r="F710" s="1"/>
  <c r="G708"/>
  <c r="G707" s="1"/>
  <c r="G706" s="1"/>
  <c r="F708"/>
  <c r="F707" s="1"/>
  <c r="F706" s="1"/>
  <c r="G698"/>
  <c r="G697" s="1"/>
  <c r="F698"/>
  <c r="F697" s="1"/>
  <c r="G695"/>
  <c r="G694" s="1"/>
  <c r="F695"/>
  <c r="F694" s="1"/>
  <c r="G680"/>
  <c r="G679" s="1"/>
  <c r="G678" s="1"/>
  <c r="F680"/>
  <c r="F679" s="1"/>
  <c r="F678" s="1"/>
  <c r="G676"/>
  <c r="G675" s="1"/>
  <c r="F676"/>
  <c r="F675" s="1"/>
  <c r="G673"/>
  <c r="G672" s="1"/>
  <c r="F673"/>
  <c r="F672" s="1"/>
  <c r="G646"/>
  <c r="G645" s="1"/>
  <c r="F646"/>
  <c r="F645" s="1"/>
  <c r="G643"/>
  <c r="G642" s="1"/>
  <c r="F643"/>
  <c r="F642" s="1"/>
  <c r="G631"/>
  <c r="F631"/>
  <c r="G629"/>
  <c r="F629"/>
  <c r="G614"/>
  <c r="G613" s="1"/>
  <c r="G612" s="1"/>
  <c r="F614"/>
  <c r="F613" s="1"/>
  <c r="F612" s="1"/>
  <c r="G606"/>
  <c r="G605" s="1"/>
  <c r="G604" s="1"/>
  <c r="G603" s="1"/>
  <c r="G602" s="1"/>
  <c r="G601" s="1"/>
  <c r="G600" s="1"/>
  <c r="F606"/>
  <c r="F605" s="1"/>
  <c r="F604" s="1"/>
  <c r="F603" s="1"/>
  <c r="F602" s="1"/>
  <c r="F601" s="1"/>
  <c r="F600" s="1"/>
  <c r="G598"/>
  <c r="G597" s="1"/>
  <c r="G596" s="1"/>
  <c r="G595" s="1"/>
  <c r="G594" s="1"/>
  <c r="G593" s="1"/>
  <c r="G592" s="1"/>
  <c r="F598"/>
  <c r="F597" s="1"/>
  <c r="F596" s="1"/>
  <c r="F595" s="1"/>
  <c r="F594" s="1"/>
  <c r="F593" s="1"/>
  <c r="F592" s="1"/>
  <c r="G587"/>
  <c r="G586" s="1"/>
  <c r="F587"/>
  <c r="F586" s="1"/>
  <c r="G571"/>
  <c r="G570" s="1"/>
  <c r="F571"/>
  <c r="F570" s="1"/>
  <c r="G568"/>
  <c r="G567" s="1"/>
  <c r="F568"/>
  <c r="F567" s="1"/>
  <c r="F68" i="155"/>
  <c r="F67" s="1"/>
  <c r="F66" s="1"/>
  <c r="F65" s="1"/>
  <c r="F64" s="1"/>
  <c r="F63" s="1"/>
  <c r="D13" i="143" s="1"/>
  <c r="F559" i="154"/>
  <c r="F558" s="1"/>
  <c r="F557" s="1"/>
  <c r="F556" s="1"/>
  <c r="F555" s="1"/>
  <c r="G550"/>
  <c r="F550"/>
  <c r="G548"/>
  <c r="F548"/>
  <c r="G539"/>
  <c r="G538" s="1"/>
  <c r="F539"/>
  <c r="F538" s="1"/>
  <c r="G536"/>
  <c r="G535" s="1"/>
  <c r="F536"/>
  <c r="F535" s="1"/>
  <c r="G533"/>
  <c r="G532" s="1"/>
  <c r="F533"/>
  <c r="F532" s="1"/>
  <c r="G517"/>
  <c r="G516" s="1"/>
  <c r="G515" s="1"/>
  <c r="G514" s="1"/>
  <c r="F517"/>
  <c r="F516" s="1"/>
  <c r="F515" s="1"/>
  <c r="F514" s="1"/>
  <c r="G511"/>
  <c r="G510" s="1"/>
  <c r="G506" s="1"/>
  <c r="F511"/>
  <c r="F510" s="1"/>
  <c r="F506" s="1"/>
  <c r="G501"/>
  <c r="G500" s="1"/>
  <c r="G496" s="1"/>
  <c r="F501"/>
  <c r="F500" s="1"/>
  <c r="F496" s="1"/>
  <c r="G483"/>
  <c r="G482" s="1"/>
  <c r="G481" s="1"/>
  <c r="F483"/>
  <c r="F482" s="1"/>
  <c r="F481" s="1"/>
  <c r="G477"/>
  <c r="F477"/>
  <c r="G475"/>
  <c r="F475"/>
  <c r="G473"/>
  <c r="F473"/>
  <c r="G470"/>
  <c r="F470"/>
  <c r="G468"/>
  <c r="F468"/>
  <c r="G466"/>
  <c r="F466"/>
  <c r="G465"/>
  <c r="F465"/>
  <c r="G462"/>
  <c r="G461" s="1"/>
  <c r="G460" s="1"/>
  <c r="F462"/>
  <c r="F461" s="1"/>
  <c r="F460" s="1"/>
  <c r="G458"/>
  <c r="G457" s="1"/>
  <c r="G456" s="1"/>
  <c r="F458"/>
  <c r="F457" s="1"/>
  <c r="F456" s="1"/>
  <c r="G450"/>
  <c r="G449" s="1"/>
  <c r="G448" s="1"/>
  <c r="G447" s="1"/>
  <c r="G446" s="1"/>
  <c r="G445" s="1"/>
  <c r="F450"/>
  <c r="F449" s="1"/>
  <c r="F448" s="1"/>
  <c r="F447" s="1"/>
  <c r="F446" s="1"/>
  <c r="F445" s="1"/>
  <c r="G443"/>
  <c r="F443"/>
  <c r="G441"/>
  <c r="F441"/>
  <c r="G437"/>
  <c r="G436" s="1"/>
  <c r="G435" s="1"/>
  <c r="F437"/>
  <c r="F436" s="1"/>
  <c r="F435" s="1"/>
  <c r="G430"/>
  <c r="F430"/>
  <c r="G428"/>
  <c r="F428"/>
  <c r="G407"/>
  <c r="G406" s="1"/>
  <c r="G405" s="1"/>
  <c r="G400" s="1"/>
  <c r="F407"/>
  <c r="F406" s="1"/>
  <c r="F405" s="1"/>
  <c r="F400" s="1"/>
  <c r="G393"/>
  <c r="G392" s="1"/>
  <c r="G391" s="1"/>
  <c r="F393"/>
  <c r="F392" s="1"/>
  <c r="F391" s="1"/>
  <c r="G389"/>
  <c r="G388" s="1"/>
  <c r="G387" s="1"/>
  <c r="F389"/>
  <c r="F388" s="1"/>
  <c r="F387" s="1"/>
  <c r="G385"/>
  <c r="G384" s="1"/>
  <c r="F385"/>
  <c r="F384" s="1"/>
  <c r="G382"/>
  <c r="G381" s="1"/>
  <c r="F382"/>
  <c r="F381" s="1"/>
  <c r="G379"/>
  <c r="G378" s="1"/>
  <c r="F379"/>
  <c r="F378" s="1"/>
  <c r="G371"/>
  <c r="G370" s="1"/>
  <c r="G369" s="1"/>
  <c r="F371"/>
  <c r="F370" s="1"/>
  <c r="F369" s="1"/>
  <c r="G367"/>
  <c r="G366" s="1"/>
  <c r="F367"/>
  <c r="F366" s="1"/>
  <c r="G364"/>
  <c r="G363" s="1"/>
  <c r="F364"/>
  <c r="F363" s="1"/>
  <c r="G361"/>
  <c r="G360" s="1"/>
  <c r="F361"/>
  <c r="F360" s="1"/>
  <c r="G355"/>
  <c r="G354" s="1"/>
  <c r="G353" s="1"/>
  <c r="G352" s="1"/>
  <c r="G351" s="1"/>
  <c r="F355"/>
  <c r="F354" s="1"/>
  <c r="F353" s="1"/>
  <c r="F352" s="1"/>
  <c r="F351" s="1"/>
  <c r="G347"/>
  <c r="G346" s="1"/>
  <c r="F347"/>
  <c r="F346" s="1"/>
  <c r="G344"/>
  <c r="G343" s="1"/>
  <c r="F344"/>
  <c r="F343" s="1"/>
  <c r="G338"/>
  <c r="G337" s="1"/>
  <c r="G336" s="1"/>
  <c r="F338"/>
  <c r="F337" s="1"/>
  <c r="F336" s="1"/>
  <c r="G334"/>
  <c r="G333" s="1"/>
  <c r="G332" s="1"/>
  <c r="F334"/>
  <c r="F333" s="1"/>
  <c r="F332" s="1"/>
  <c r="G327"/>
  <c r="G326" s="1"/>
  <c r="G325" s="1"/>
  <c r="G324" s="1"/>
  <c r="G323" s="1"/>
  <c r="G322" s="1"/>
  <c r="F327"/>
  <c r="F326" s="1"/>
  <c r="F325" s="1"/>
  <c r="F324" s="1"/>
  <c r="F323" s="1"/>
  <c r="F322" s="1"/>
  <c r="G312"/>
  <c r="G311" s="1"/>
  <c r="G310" s="1"/>
  <c r="G309" s="1"/>
  <c r="F312"/>
  <c r="F311" s="1"/>
  <c r="F310" s="1"/>
  <c r="F309" s="1"/>
  <c r="G299"/>
  <c r="G298" s="1"/>
  <c r="F299"/>
  <c r="F298" s="1"/>
  <c r="G296"/>
  <c r="G295" s="1"/>
  <c r="F296"/>
  <c r="F295" s="1"/>
  <c r="G290"/>
  <c r="G289" s="1"/>
  <c r="F290"/>
  <c r="F289" s="1"/>
  <c r="G277"/>
  <c r="G276" s="1"/>
  <c r="F277"/>
  <c r="F276" s="1"/>
  <c r="G274"/>
  <c r="G273" s="1"/>
  <c r="F274"/>
  <c r="F273" s="1"/>
  <c r="G249"/>
  <c r="G248" s="1"/>
  <c r="F249"/>
  <c r="F248" s="1"/>
  <c r="G246"/>
  <c r="G245" s="1"/>
  <c r="F246"/>
  <c r="F245" s="1"/>
  <c r="G243"/>
  <c r="G242" s="1"/>
  <c r="F243"/>
  <c r="F242" s="1"/>
  <c r="G236"/>
  <c r="G235" s="1"/>
  <c r="G225" s="1"/>
  <c r="F236"/>
  <c r="F235" s="1"/>
  <c r="F225" s="1"/>
  <c r="E277" i="155"/>
  <c r="G215" i="154"/>
  <c r="G214" s="1"/>
  <c r="G212"/>
  <c r="G211" s="1"/>
  <c r="F212"/>
  <c r="F211" s="1"/>
  <c r="G200"/>
  <c r="G199" s="1"/>
  <c r="F200"/>
  <c r="F199" s="1"/>
  <c r="G197"/>
  <c r="G196" s="1"/>
  <c r="F197"/>
  <c r="F196" s="1"/>
  <c r="G179"/>
  <c r="G178" s="1"/>
  <c r="F179"/>
  <c r="F178" s="1"/>
  <c r="G176"/>
  <c r="G175" s="1"/>
  <c r="F176"/>
  <c r="F175" s="1"/>
  <c r="G168"/>
  <c r="G167" s="1"/>
  <c r="G166" s="1"/>
  <c r="F168"/>
  <c r="F167" s="1"/>
  <c r="F166" s="1"/>
  <c r="G163"/>
  <c r="G162" s="1"/>
  <c r="F163"/>
  <c r="F162" s="1"/>
  <c r="G160"/>
  <c r="G159" s="1"/>
  <c r="F160"/>
  <c r="F159" s="1"/>
  <c r="G157"/>
  <c r="G156" s="1"/>
  <c r="F157"/>
  <c r="F156" s="1"/>
  <c r="G153"/>
  <c r="G152" s="1"/>
  <c r="F153"/>
  <c r="F152" s="1"/>
  <c r="G147"/>
  <c r="G146" s="1"/>
  <c r="F147"/>
  <c r="F146" s="1"/>
  <c r="G143"/>
  <c r="G142" s="1"/>
  <c r="G141" s="1"/>
  <c r="F143"/>
  <c r="F142" s="1"/>
  <c r="F141" s="1"/>
  <c r="G126"/>
  <c r="G125" s="1"/>
  <c r="G124" s="1"/>
  <c r="G123" s="1"/>
  <c r="F126"/>
  <c r="F125" s="1"/>
  <c r="F124" s="1"/>
  <c r="F123" s="1"/>
  <c r="G119"/>
  <c r="G118" s="1"/>
  <c r="G117" s="1"/>
  <c r="G116" s="1"/>
  <c r="G115" s="1"/>
  <c r="G114" s="1"/>
  <c r="F119"/>
  <c r="F118" s="1"/>
  <c r="F117" s="1"/>
  <c r="F116" s="1"/>
  <c r="F115" s="1"/>
  <c r="F114" s="1"/>
  <c r="G111"/>
  <c r="F111"/>
  <c r="G109"/>
  <c r="F109"/>
  <c r="G107"/>
  <c r="F107"/>
  <c r="G104"/>
  <c r="G103" s="1"/>
  <c r="G102" s="1"/>
  <c r="F104"/>
  <c r="F103" s="1"/>
  <c r="F102" s="1"/>
  <c r="G94"/>
  <c r="G93" s="1"/>
  <c r="G92" s="1"/>
  <c r="G91" s="1"/>
  <c r="F94"/>
  <c r="F93" s="1"/>
  <c r="F92" s="1"/>
  <c r="F91" s="1"/>
  <c r="G89"/>
  <c r="G88" s="1"/>
  <c r="G87" s="1"/>
  <c r="F89"/>
  <c r="F88" s="1"/>
  <c r="F87" s="1"/>
  <c r="G85"/>
  <c r="G84" s="1"/>
  <c r="F85"/>
  <c r="F84" s="1"/>
  <c r="G82"/>
  <c r="G81" s="1"/>
  <c r="F82"/>
  <c r="F81" s="1"/>
  <c r="G61"/>
  <c r="G60" s="1"/>
  <c r="G59" s="1"/>
  <c r="G58" s="1"/>
  <c r="G57" s="1"/>
  <c r="F61"/>
  <c r="F60" s="1"/>
  <c r="F59" s="1"/>
  <c r="F58" s="1"/>
  <c r="F57" s="1"/>
  <c r="G55"/>
  <c r="G54" s="1"/>
  <c r="F55"/>
  <c r="F54" s="1"/>
  <c r="G52"/>
  <c r="G51" s="1"/>
  <c r="F52"/>
  <c r="F51" s="1"/>
  <c r="G48"/>
  <c r="G47" s="1"/>
  <c r="F48"/>
  <c r="F47" s="1"/>
  <c r="G45"/>
  <c r="G44" s="1"/>
  <c r="F45"/>
  <c r="F44" s="1"/>
  <c r="G38"/>
  <c r="G37" s="1"/>
  <c r="G36" s="1"/>
  <c r="G35" s="1"/>
  <c r="G34" s="1"/>
  <c r="G33" s="1"/>
  <c r="F38"/>
  <c r="F37" s="1"/>
  <c r="F36" s="1"/>
  <c r="F35" s="1"/>
  <c r="F34" s="1"/>
  <c r="F33" s="1"/>
  <c r="G31"/>
  <c r="G30" s="1"/>
  <c r="G29" s="1"/>
  <c r="G28" s="1"/>
  <c r="G27" s="1"/>
  <c r="F31"/>
  <c r="F30" s="1"/>
  <c r="F29" s="1"/>
  <c r="F28" s="1"/>
  <c r="F27" s="1"/>
  <c r="G22"/>
  <c r="F22"/>
  <c r="G18"/>
  <c r="F18"/>
  <c r="G15"/>
  <c r="G14" s="1"/>
  <c r="F15"/>
  <c r="F14" s="1"/>
  <c r="E334" i="147" l="1"/>
  <c r="E505"/>
  <c r="E504" s="1"/>
  <c r="E290"/>
  <c r="E273" s="1"/>
  <c r="F640" i="155"/>
  <c r="F639" s="1"/>
  <c r="F638" s="1"/>
  <c r="E159" i="147"/>
  <c r="E158" s="1"/>
  <c r="E157" s="1"/>
  <c r="E156" s="1"/>
  <c r="F675" i="155"/>
  <c r="E218" i="147"/>
  <c r="E217" s="1"/>
  <c r="F699" i="155"/>
  <c r="E31" i="147"/>
  <c r="E30" s="1"/>
  <c r="E27" s="1"/>
  <c r="E26" s="1"/>
  <c r="E9" s="1"/>
  <c r="E8" s="1"/>
  <c r="F711" i="155"/>
  <c r="F710" s="1"/>
  <c r="F709" s="1"/>
  <c r="F708" s="1"/>
  <c r="F707" s="1"/>
  <c r="E448" i="147"/>
  <c r="E447" s="1"/>
  <c r="E446" s="1"/>
  <c r="E445" s="1"/>
  <c r="E431" s="1"/>
  <c r="F740" i="155"/>
  <c r="E183" i="147"/>
  <c r="E182" s="1"/>
  <c r="F744" i="155"/>
  <c r="E187" i="147"/>
  <c r="E186" s="1"/>
  <c r="F768" i="155"/>
  <c r="F767" s="1"/>
  <c r="F763" s="1"/>
  <c r="F762" s="1"/>
  <c r="E246" i="147"/>
  <c r="E245" s="1"/>
  <c r="E244" s="1"/>
  <c r="E240" s="1"/>
  <c r="E239" s="1"/>
  <c r="E205"/>
  <c r="E226"/>
  <c r="E225" s="1"/>
  <c r="E224" s="1"/>
  <c r="F126" i="155"/>
  <c r="F125" s="1"/>
  <c r="E466" i="147"/>
  <c r="E465" s="1"/>
  <c r="E464" s="1"/>
  <c r="F150" i="155"/>
  <c r="F149" s="1"/>
  <c r="E522" i="147"/>
  <c r="E521" s="1"/>
  <c r="E520" s="1"/>
  <c r="E513" s="1"/>
  <c r="F192" i="155"/>
  <c r="F191" s="1"/>
  <c r="F190" s="1"/>
  <c r="E333" i="147"/>
  <c r="E332" s="1"/>
  <c r="E331" s="1"/>
  <c r="E330" s="1"/>
  <c r="E123"/>
  <c r="F636" i="155"/>
  <c r="F635" s="1"/>
  <c r="F634" s="1"/>
  <c r="E155" i="147"/>
  <c r="E154" s="1"/>
  <c r="E153" s="1"/>
  <c r="E152" s="1"/>
  <c r="F654" i="155"/>
  <c r="F653" s="1"/>
  <c r="F652" s="1"/>
  <c r="F647" s="1"/>
  <c r="F646" s="1"/>
  <c r="E415" i="147"/>
  <c r="E414" s="1"/>
  <c r="E411" s="1"/>
  <c r="E410" s="1"/>
  <c r="E395" s="1"/>
  <c r="E381" s="1"/>
  <c r="E216"/>
  <c r="F688" i="155"/>
  <c r="E199" i="147"/>
  <c r="E198" s="1"/>
  <c r="E197" s="1"/>
  <c r="F705" i="155"/>
  <c r="F704" s="1"/>
  <c r="F703" s="1"/>
  <c r="F702" s="1"/>
  <c r="F701" s="1"/>
  <c r="E223" i="147"/>
  <c r="E222" s="1"/>
  <c r="E221" s="1"/>
  <c r="F742" i="155"/>
  <c r="E185" i="147"/>
  <c r="E184" s="1"/>
  <c r="F77" i="155"/>
  <c r="F76" s="1"/>
  <c r="E204" i="147"/>
  <c r="E203" s="1"/>
  <c r="E202" s="1"/>
  <c r="F123" i="155"/>
  <c r="F122" s="1"/>
  <c r="E463" i="147"/>
  <c r="E462" s="1"/>
  <c r="E461" s="1"/>
  <c r="F130" i="155"/>
  <c r="F129" s="1"/>
  <c r="F128" s="1"/>
  <c r="E470" i="147"/>
  <c r="E469" s="1"/>
  <c r="E468" s="1"/>
  <c r="E467" s="1"/>
  <c r="F156" i="155"/>
  <c r="E535" i="147"/>
  <c r="E534" s="1"/>
  <c r="E533" s="1"/>
  <c r="F206" i="155"/>
  <c r="F205" s="1"/>
  <c r="E347" i="147"/>
  <c r="E346" s="1"/>
  <c r="E345" s="1"/>
  <c r="F212" i="155"/>
  <c r="F211" s="1"/>
  <c r="E353" i="147"/>
  <c r="E352" s="1"/>
  <c r="E351" s="1"/>
  <c r="F225" i="155"/>
  <c r="F224" s="1"/>
  <c r="E366" i="147"/>
  <c r="E365" s="1"/>
  <c r="E364" s="1"/>
  <c r="E363" s="1"/>
  <c r="F258" i="155"/>
  <c r="F257" s="1"/>
  <c r="E377" i="147"/>
  <c r="E376" s="1"/>
  <c r="E375" s="1"/>
  <c r="E371" s="1"/>
  <c r="E370" s="1"/>
  <c r="F273" i="155"/>
  <c r="F272" s="1"/>
  <c r="E262" i="147"/>
  <c r="E261" s="1"/>
  <c r="E260" s="1"/>
  <c r="E259" s="1"/>
  <c r="E258" s="1"/>
  <c r="F338" i="155"/>
  <c r="F337" s="1"/>
  <c r="F333" s="1"/>
  <c r="F332" s="1"/>
  <c r="E327" i="147"/>
  <c r="E326" s="1"/>
  <c r="E325" s="1"/>
  <c r="E321" s="1"/>
  <c r="E320" s="1"/>
  <c r="F217" i="155"/>
  <c r="F216" s="1"/>
  <c r="F215" s="1"/>
  <c r="E358" i="147"/>
  <c r="E357" s="1"/>
  <c r="E356" s="1"/>
  <c r="E355" s="1"/>
  <c r="E354" s="1"/>
  <c r="F342" i="154"/>
  <c r="G342"/>
  <c r="G693"/>
  <c r="F641"/>
  <c r="F640" s="1"/>
  <c r="F585"/>
  <c r="F584" s="1"/>
  <c r="F577" s="1"/>
  <c r="G585"/>
  <c r="G584" s="1"/>
  <c r="G577" s="1"/>
  <c r="F17"/>
  <c r="G17"/>
  <c r="D239" i="147"/>
  <c r="F288" i="154"/>
  <c r="F287" s="1"/>
  <c r="G288"/>
  <c r="G287" s="1"/>
  <c r="G641"/>
  <c r="G640" s="1"/>
  <c r="F741"/>
  <c r="F740" s="1"/>
  <c r="G741"/>
  <c r="G740" s="1"/>
  <c r="E449" i="155"/>
  <c r="E448" s="1"/>
  <c r="F693" i="154"/>
  <c r="F692" s="1"/>
  <c r="E401" i="155"/>
  <c r="E349"/>
  <c r="E348" s="1"/>
  <c r="F122" i="154"/>
  <c r="F121" s="1"/>
  <c r="F113" s="1"/>
  <c r="G122"/>
  <c r="G121" s="1"/>
  <c r="G113" s="1"/>
  <c r="E86" i="155"/>
  <c r="F86"/>
  <c r="F241" i="154"/>
  <c r="F224" s="1"/>
  <c r="G241"/>
  <c r="G224" s="1"/>
  <c r="E302" i="155"/>
  <c r="G192" i="154"/>
  <c r="G191" s="1"/>
  <c r="G190" s="1"/>
  <c r="G189" s="1"/>
  <c r="F611"/>
  <c r="F610" s="1"/>
  <c r="F609" s="1"/>
  <c r="F608" s="1"/>
  <c r="G611"/>
  <c r="G610" s="1"/>
  <c r="G609" s="1"/>
  <c r="G608" s="1"/>
  <c r="G145"/>
  <c r="F145"/>
  <c r="D406" i="147"/>
  <c r="D405" s="1"/>
  <c r="D404" s="1"/>
  <c r="D400" s="1"/>
  <c r="F192" i="154"/>
  <c r="F191" s="1"/>
  <c r="F190" s="1"/>
  <c r="F189" s="1"/>
  <c r="E528" i="155"/>
  <c r="E527" s="1"/>
  <c r="E526" s="1"/>
  <c r="E525" s="1"/>
  <c r="E524" s="1"/>
  <c r="D415" i="147"/>
  <c r="D414" s="1"/>
  <c r="D238"/>
  <c r="D237" s="1"/>
  <c r="D236" s="1"/>
  <c r="F752" i="154"/>
  <c r="F751" s="1"/>
  <c r="G668"/>
  <c r="G663" s="1"/>
  <c r="G752"/>
  <c r="G751" s="1"/>
  <c r="F668"/>
  <c r="F663" s="1"/>
  <c r="E471" i="155"/>
  <c r="G813" i="154"/>
  <c r="G812" s="1"/>
  <c r="F813"/>
  <c r="F812" s="1"/>
  <c r="F763"/>
  <c r="G763"/>
  <c r="D422" i="147"/>
  <c r="F747" i="155"/>
  <c r="F746" s="1"/>
  <c r="E747"/>
  <c r="E746" s="1"/>
  <c r="E682"/>
  <c r="F480" i="154"/>
  <c r="F479" s="1"/>
  <c r="G480"/>
  <c r="G479" s="1"/>
  <c r="G174"/>
  <c r="G165" s="1"/>
  <c r="F174"/>
  <c r="F165" s="1"/>
  <c r="F495"/>
  <c r="F494" s="1"/>
  <c r="G495"/>
  <c r="G494" s="1"/>
  <c r="F399"/>
  <c r="F863"/>
  <c r="F862" s="1"/>
  <c r="F861" s="1"/>
  <c r="F860" s="1"/>
  <c r="F859" s="1"/>
  <c r="F858" s="1"/>
  <c r="G399"/>
  <c r="E646" i="155"/>
  <c r="F331" i="154"/>
  <c r="F330" s="1"/>
  <c r="F850"/>
  <c r="F513"/>
  <c r="G559"/>
  <c r="G558" s="1"/>
  <c r="G557" s="1"/>
  <c r="G556" s="1"/>
  <c r="G555" s="1"/>
  <c r="F628"/>
  <c r="G440"/>
  <c r="G439" s="1"/>
  <c r="G434" s="1"/>
  <c r="F801"/>
  <c r="F800" s="1"/>
  <c r="F793" s="1"/>
  <c r="F106"/>
  <c r="F101" s="1"/>
  <c r="F96" s="1"/>
  <c r="G513"/>
  <c r="E800" i="155"/>
  <c r="E799" s="1"/>
  <c r="G472" i="154"/>
  <c r="G464" s="1"/>
  <c r="G455" s="1"/>
  <c r="F43"/>
  <c r="F427"/>
  <c r="E674" i="155" s="1"/>
  <c r="H8" i="199" s="1"/>
  <c r="G628" i="154"/>
  <c r="G43"/>
  <c r="G50"/>
  <c r="G331"/>
  <c r="G330" s="1"/>
  <c r="G566"/>
  <c r="D192" i="147"/>
  <c r="D191" s="1"/>
  <c r="D190" s="1"/>
  <c r="D189" s="1"/>
  <c r="E684" i="155"/>
  <c r="E683" s="1"/>
  <c r="D178" i="147"/>
  <c r="D177" s="1"/>
  <c r="E735" i="155"/>
  <c r="F838" i="154"/>
  <c r="F827" s="1"/>
  <c r="D176" i="147"/>
  <c r="D175" s="1"/>
  <c r="E733" i="155"/>
  <c r="G359" i="154"/>
  <c r="G358" s="1"/>
  <c r="F531"/>
  <c r="F530" s="1"/>
  <c r="F529" s="1"/>
  <c r="F528" s="1"/>
  <c r="F527" s="1"/>
  <c r="G838"/>
  <c r="G827" s="1"/>
  <c r="D223" i="147"/>
  <c r="D222" s="1"/>
  <c r="D221" s="1"/>
  <c r="E705" i="155"/>
  <c r="E704" s="1"/>
  <c r="E703" s="1"/>
  <c r="E702" s="1"/>
  <c r="E701" s="1"/>
  <c r="G106" i="154"/>
  <c r="G101" s="1"/>
  <c r="G96" s="1"/>
  <c r="G308"/>
  <c r="D199" i="147"/>
  <c r="D198" s="1"/>
  <c r="E688" i="155"/>
  <c r="F359" i="154"/>
  <c r="F358" s="1"/>
  <c r="F472"/>
  <c r="F464" s="1"/>
  <c r="F455" s="1"/>
  <c r="G850"/>
  <c r="G863"/>
  <c r="G862" s="1"/>
  <c r="G861" s="1"/>
  <c r="G860" s="1"/>
  <c r="G859" s="1"/>
  <c r="G858" s="1"/>
  <c r="E381" i="155"/>
  <c r="E380" s="1"/>
  <c r="E384"/>
  <c r="E383" s="1"/>
  <c r="F50" i="154"/>
  <c r="G80"/>
  <c r="G79" s="1"/>
  <c r="G78" s="1"/>
  <c r="E206" i="155"/>
  <c r="E205" s="1"/>
  <c r="D216" i="147"/>
  <c r="E126" i="155"/>
  <c r="E125" s="1"/>
  <c r="G155" i="154"/>
  <c r="F155"/>
  <c r="G341"/>
  <c r="G340" s="1"/>
  <c r="E228" i="155"/>
  <c r="E227" s="1"/>
  <c r="E636"/>
  <c r="E635" s="1"/>
  <c r="E634" s="1"/>
  <c r="E677"/>
  <c r="G272" i="154"/>
  <c r="G271" s="1"/>
  <c r="G377"/>
  <c r="G376" s="1"/>
  <c r="F80"/>
  <c r="F79" s="1"/>
  <c r="F78" s="1"/>
  <c r="F272"/>
  <c r="F271" s="1"/>
  <c r="F341"/>
  <c r="F340" s="1"/>
  <c r="E543" i="155"/>
  <c r="E542" s="1"/>
  <c r="E541" s="1"/>
  <c r="E540" s="1"/>
  <c r="E539" s="1"/>
  <c r="E538" s="1"/>
  <c r="C29" i="143" s="1"/>
  <c r="F48" i="155"/>
  <c r="F261"/>
  <c r="F260" s="1"/>
  <c r="E48"/>
  <c r="E212"/>
  <c r="E211" s="1"/>
  <c r="E217"/>
  <c r="E216" s="1"/>
  <c r="E215" s="1"/>
  <c r="E465"/>
  <c r="E464" s="1"/>
  <c r="E77"/>
  <c r="E76" s="1"/>
  <c r="E114"/>
  <c r="E113" s="1"/>
  <c r="F196"/>
  <c r="F195" s="1"/>
  <c r="E338"/>
  <c r="E337" s="1"/>
  <c r="E333" s="1"/>
  <c r="E332" s="1"/>
  <c r="E503"/>
  <c r="E502" s="1"/>
  <c r="D299" i="147"/>
  <c r="D298" s="1"/>
  <c r="D297" s="1"/>
  <c r="D227"/>
  <c r="D226" s="1"/>
  <c r="D225" s="1"/>
  <c r="D224" s="1"/>
  <c r="D479"/>
  <c r="D478" s="1"/>
  <c r="D477" s="1"/>
  <c r="D476" s="1"/>
  <c r="D471" s="1"/>
  <c r="F733" i="155"/>
  <c r="F803"/>
  <c r="F802" s="1"/>
  <c r="D293" i="147"/>
  <c r="D292" s="1"/>
  <c r="D291" s="1"/>
  <c r="E147" i="155"/>
  <c r="E146" s="1"/>
  <c r="E145" s="1"/>
  <c r="E261"/>
  <c r="E260" s="1"/>
  <c r="F307"/>
  <c r="F306" s="1"/>
  <c r="F626"/>
  <c r="F625" s="1"/>
  <c r="D130" i="147"/>
  <c r="D129" s="1"/>
  <c r="D128" s="1"/>
  <c r="D324"/>
  <c r="D323" s="1"/>
  <c r="D322" s="1"/>
  <c r="D321" s="1"/>
  <c r="D320" s="1"/>
  <c r="F308" i="154"/>
  <c r="D265" i="147"/>
  <c r="D264" s="1"/>
  <c r="D263" s="1"/>
  <c r="D259" s="1"/>
  <c r="D258" s="1"/>
  <c r="E276" i="155"/>
  <c r="E275" s="1"/>
  <c r="F74"/>
  <c r="F73" s="1"/>
  <c r="E559"/>
  <c r="E558" s="1"/>
  <c r="D235" i="147"/>
  <c r="D234" s="1"/>
  <c r="D233" s="1"/>
  <c r="E737" i="155"/>
  <c r="D180" i="147"/>
  <c r="D179" s="1"/>
  <c r="D183"/>
  <c r="D182" s="1"/>
  <c r="E740" i="155"/>
  <c r="D214" i="147"/>
  <c r="D213" s="1"/>
  <c r="D212" s="1"/>
  <c r="E806" i="155"/>
  <c r="E805" s="1"/>
  <c r="D151" i="147"/>
  <c r="D150" s="1"/>
  <c r="D149" s="1"/>
  <c r="F215" i="154"/>
  <c r="F214" s="1"/>
  <c r="F210" s="1"/>
  <c r="F209" s="1"/>
  <c r="G427"/>
  <c r="G426" s="1"/>
  <c r="G425" s="1"/>
  <c r="G424" s="1"/>
  <c r="G423" s="1"/>
  <c r="F440"/>
  <c r="F439" s="1"/>
  <c r="F566"/>
  <c r="G801"/>
  <c r="G800" s="1"/>
  <c r="G793" s="1"/>
  <c r="F160" i="155"/>
  <c r="F209"/>
  <c r="F208" s="1"/>
  <c r="F204" s="1"/>
  <c r="D366" i="147"/>
  <c r="D365" s="1"/>
  <c r="D364" s="1"/>
  <c r="D363" s="1"/>
  <c r="D354" s="1"/>
  <c r="E225" i="155"/>
  <c r="E224" s="1"/>
  <c r="F228"/>
  <c r="F227" s="1"/>
  <c r="D29" i="143"/>
  <c r="F684" i="155"/>
  <c r="F683" s="1"/>
  <c r="F682" s="1"/>
  <c r="F806"/>
  <c r="F805" s="1"/>
  <c r="D91" i="147"/>
  <c r="D90" s="1"/>
  <c r="D89" s="1"/>
  <c r="F547" i="154"/>
  <c r="F16" i="155"/>
  <c r="F81"/>
  <c r="F80" s="1"/>
  <c r="F202"/>
  <c r="F201" s="1"/>
  <c r="F276"/>
  <c r="F275" s="1"/>
  <c r="F271" s="1"/>
  <c r="F270" s="1"/>
  <c r="E430"/>
  <c r="E429" s="1"/>
  <c r="E428" s="1"/>
  <c r="D58" i="147"/>
  <c r="D57" s="1"/>
  <c r="D56" s="1"/>
  <c r="D55" s="1"/>
  <c r="F618" i="155"/>
  <c r="F617" s="1"/>
  <c r="F616" s="1"/>
  <c r="G210" i="154"/>
  <c r="G209" s="1"/>
  <c r="F377"/>
  <c r="F376" s="1"/>
  <c r="G531"/>
  <c r="G530" s="1"/>
  <c r="G529" s="1"/>
  <c r="G528" s="1"/>
  <c r="G527" s="1"/>
  <c r="D337" i="147"/>
  <c r="D336" s="1"/>
  <c r="D335" s="1"/>
  <c r="E196" i="155"/>
  <c r="E195" s="1"/>
  <c r="E194" s="1"/>
  <c r="G547" i="154"/>
  <c r="F158" i="155"/>
  <c r="D103" i="147"/>
  <c r="D102" s="1"/>
  <c r="D101" s="1"/>
  <c r="D100" s="1"/>
  <c r="E579" i="155"/>
  <c r="E578" s="1"/>
  <c r="E577" s="1"/>
  <c r="E576" s="1"/>
  <c r="E565" s="1"/>
  <c r="D116" i="147"/>
  <c r="D115" s="1"/>
  <c r="D114" s="1"/>
  <c r="E602" i="155"/>
  <c r="E601" s="1"/>
  <c r="E600" s="1"/>
  <c r="E599" s="1"/>
  <c r="E598" s="1"/>
  <c r="D448" i="147"/>
  <c r="D447" s="1"/>
  <c r="D446" s="1"/>
  <c r="D445" s="1"/>
  <c r="E711" i="155"/>
  <c r="E710" s="1"/>
  <c r="E709" s="1"/>
  <c r="D187" i="147"/>
  <c r="D186" s="1"/>
  <c r="E744" i="155"/>
  <c r="G692" i="154"/>
  <c r="F297" i="155"/>
  <c r="F296" s="1"/>
  <c r="F286" s="1"/>
  <c r="F310"/>
  <c r="F309" s="1"/>
  <c r="D38" i="147"/>
  <c r="D40"/>
  <c r="D137"/>
  <c r="D136" s="1"/>
  <c r="D135" s="1"/>
  <c r="D134" s="1"/>
  <c r="E618" i="155"/>
  <c r="E617" s="1"/>
  <c r="E616" s="1"/>
  <c r="D185" i="147"/>
  <c r="D184" s="1"/>
  <c r="E742" i="155"/>
  <c r="D532" i="147"/>
  <c r="D531" s="1"/>
  <c r="D530" s="1"/>
  <c r="E168" i="155"/>
  <c r="E167" s="1"/>
  <c r="E166" s="1"/>
  <c r="E165" s="1"/>
  <c r="E164" s="1"/>
  <c r="E163" s="1"/>
  <c r="D386" i="147"/>
  <c r="D385" s="1"/>
  <c r="D384" s="1"/>
  <c r="D383" s="1"/>
  <c r="D382" s="1"/>
  <c r="E175" i="155"/>
  <c r="E174" s="1"/>
  <c r="E173" s="1"/>
  <c r="E172" s="1"/>
  <c r="D444" i="147"/>
  <c r="D443" s="1"/>
  <c r="D442" s="1"/>
  <c r="D432" s="1"/>
  <c r="E235" i="155"/>
  <c r="E234" s="1"/>
  <c r="E233" s="1"/>
  <c r="E232" s="1"/>
  <c r="D286" i="147"/>
  <c r="D285" s="1"/>
  <c r="D284" s="1"/>
  <c r="D274" s="1"/>
  <c r="E297" i="155"/>
  <c r="E296" s="1"/>
  <c r="E286" s="1"/>
  <c r="F304"/>
  <c r="F303" s="1"/>
  <c r="D522" i="147"/>
  <c r="D521" s="1"/>
  <c r="D201"/>
  <c r="D200" s="1"/>
  <c r="E690" i="155"/>
  <c r="F725"/>
  <c r="F724" s="1"/>
  <c r="F723" s="1"/>
  <c r="D127" i="147"/>
  <c r="D126" s="1"/>
  <c r="D125" s="1"/>
  <c r="D85"/>
  <c r="D84" s="1"/>
  <c r="D83" s="1"/>
  <c r="E26" i="155"/>
  <c r="E25" s="1"/>
  <c r="D516" i="147"/>
  <c r="D515" s="1"/>
  <c r="D514" s="1"/>
  <c r="D507"/>
  <c r="D506" s="1"/>
  <c r="D505" s="1"/>
  <c r="D504" s="1"/>
  <c r="E14" i="155"/>
  <c r="D526" i="147"/>
  <c r="D525" s="1"/>
  <c r="E33" i="155"/>
  <c r="E28" s="1"/>
  <c r="E606"/>
  <c r="D535" i="147"/>
  <c r="D534" s="1"/>
  <c r="E156" i="155"/>
  <c r="F629"/>
  <c r="F628" s="1"/>
  <c r="F735"/>
  <c r="D145" i="147"/>
  <c r="D144" s="1"/>
  <c r="D143" s="1"/>
  <c r="D172"/>
  <c r="D171" s="1"/>
  <c r="D170" s="1"/>
  <c r="D169" s="1"/>
  <c r="E61" i="155"/>
  <c r="E60" s="1"/>
  <c r="E59" s="1"/>
  <c r="E58" s="1"/>
  <c r="E57" s="1"/>
  <c r="E56" s="1"/>
  <c r="C12" i="143" s="1"/>
  <c r="E111" i="155"/>
  <c r="E110" s="1"/>
  <c r="F114"/>
  <c r="F113" s="1"/>
  <c r="D460" i="147"/>
  <c r="D459" s="1"/>
  <c r="F147" i="155"/>
  <c r="F146" s="1"/>
  <c r="F145" s="1"/>
  <c r="D350" i="147"/>
  <c r="D349" s="1"/>
  <c r="D348" s="1"/>
  <c r="D344" s="1"/>
  <c r="E209" i="155"/>
  <c r="E208" s="1"/>
  <c r="F611"/>
  <c r="F610" s="1"/>
  <c r="F614"/>
  <c r="F613" s="1"/>
  <c r="F677"/>
  <c r="F674" s="1"/>
  <c r="I8" i="199" s="1"/>
  <c r="F729" i="155"/>
  <c r="F728" s="1"/>
  <c r="F727" s="1"/>
  <c r="F800"/>
  <c r="F799" s="1"/>
  <c r="D31" i="147"/>
  <c r="D30" s="1"/>
  <c r="D27" s="1"/>
  <c r="D26" s="1"/>
  <c r="D133"/>
  <c r="D132" s="1"/>
  <c r="D131" s="1"/>
  <c r="F14" i="155"/>
  <c r="F26"/>
  <c r="F25" s="1"/>
  <c r="F33"/>
  <c r="F28" s="1"/>
  <c r="F61"/>
  <c r="F60" s="1"/>
  <c r="F59" s="1"/>
  <c r="F58" s="1"/>
  <c r="F57" s="1"/>
  <c r="F56" s="1"/>
  <c r="D12" i="143" s="1"/>
  <c r="E84" i="155"/>
  <c r="E83" s="1"/>
  <c r="E79" s="1"/>
  <c r="F111"/>
  <c r="F110" s="1"/>
  <c r="E123"/>
  <c r="E122" s="1"/>
  <c r="E130"/>
  <c r="E129" s="1"/>
  <c r="E128" s="1"/>
  <c r="F135"/>
  <c r="F134" s="1"/>
  <c r="F133" s="1"/>
  <c r="F132" s="1"/>
  <c r="D539" i="147"/>
  <c r="D538" s="1"/>
  <c r="E160" i="155"/>
  <c r="F168"/>
  <c r="F167" s="1"/>
  <c r="F166" s="1"/>
  <c r="F165" s="1"/>
  <c r="F164" s="1"/>
  <c r="F163" s="1"/>
  <c r="D16" i="143" s="1"/>
  <c r="E192" i="155"/>
  <c r="E191" s="1"/>
  <c r="E190" s="1"/>
  <c r="E248"/>
  <c r="E247" s="1"/>
  <c r="E246" s="1"/>
  <c r="E245" s="1"/>
  <c r="E244" s="1"/>
  <c r="E243" s="1"/>
  <c r="C22" i="143" s="1"/>
  <c r="E273" i="155"/>
  <c r="E272" s="1"/>
  <c r="E434"/>
  <c r="E433" s="1"/>
  <c r="E432" s="1"/>
  <c r="E462"/>
  <c r="E461" s="1"/>
  <c r="E546"/>
  <c r="F608"/>
  <c r="F607" s="1"/>
  <c r="E697"/>
  <c r="E696" s="1"/>
  <c r="E695" s="1"/>
  <c r="E694" s="1"/>
  <c r="E693" s="1"/>
  <c r="D54" i="147"/>
  <c r="D53" s="1"/>
  <c r="D52" s="1"/>
  <c r="D45" s="1"/>
  <c r="D113"/>
  <c r="D112" s="1"/>
  <c r="D111" s="1"/>
  <c r="D110" s="1"/>
  <c r="D121"/>
  <c r="D120" s="1"/>
  <c r="D119" s="1"/>
  <c r="D118" s="1"/>
  <c r="D168"/>
  <c r="D167" s="1"/>
  <c r="D166" s="1"/>
  <c r="D165" s="1"/>
  <c r="D343"/>
  <c r="D342" s="1"/>
  <c r="D341" s="1"/>
  <c r="D537"/>
  <c r="D536" s="1"/>
  <c r="E16" i="155"/>
  <c r="E74"/>
  <c r="E73" s="1"/>
  <c r="F84"/>
  <c r="F83" s="1"/>
  <c r="F175"/>
  <c r="F174" s="1"/>
  <c r="F173" s="1"/>
  <c r="F172" s="1"/>
  <c r="F235"/>
  <c r="F234" s="1"/>
  <c r="F233" s="1"/>
  <c r="F232" s="1"/>
  <c r="F248"/>
  <c r="F247" s="1"/>
  <c r="F246" s="1"/>
  <c r="F245" s="1"/>
  <c r="F244" s="1"/>
  <c r="F243" s="1"/>
  <c r="D22" i="143" s="1"/>
  <c r="E562" i="155"/>
  <c r="E561" s="1"/>
  <c r="H7" i="199" s="1"/>
  <c r="F602" i="155"/>
  <c r="F601" s="1"/>
  <c r="F600" s="1"/>
  <c r="F599" s="1"/>
  <c r="F598" s="1"/>
  <c r="F632"/>
  <c r="F631" s="1"/>
  <c r="E640"/>
  <c r="E639" s="1"/>
  <c r="E638" s="1"/>
  <c r="E675"/>
  <c r="F690"/>
  <c r="F687" s="1"/>
  <c r="I9" i="199" s="1"/>
  <c r="F697" i="155"/>
  <c r="F696" s="1"/>
  <c r="F695" s="1"/>
  <c r="F694" s="1"/>
  <c r="F693" s="1"/>
  <c r="F737"/>
  <c r="D43" i="147"/>
  <c r="D42" s="1"/>
  <c r="D211"/>
  <c r="D210" s="1"/>
  <c r="D209" s="1"/>
  <c r="D296"/>
  <c r="D295" s="1"/>
  <c r="D294" s="1"/>
  <c r="D377"/>
  <c r="D376" s="1"/>
  <c r="D375" s="1"/>
  <c r="D148"/>
  <c r="D147" s="1"/>
  <c r="D146" s="1"/>
  <c r="E624" i="155"/>
  <c r="E768"/>
  <c r="E767" s="1"/>
  <c r="E763" s="1"/>
  <c r="D35" i="147"/>
  <c r="D34" s="1"/>
  <c r="D33" s="1"/>
  <c r="D32" s="1"/>
  <c r="D16"/>
  <c r="D15" s="1"/>
  <c r="D14" s="1"/>
  <c r="D13"/>
  <c r="D12" s="1"/>
  <c r="D11" s="1"/>
  <c r="F121" i="155"/>
  <c r="E588"/>
  <c r="D19" i="147"/>
  <c r="D18" s="1"/>
  <c r="D17" s="1"/>
  <c r="F223" i="155" l="1"/>
  <c r="F214" s="1"/>
  <c r="F120"/>
  <c r="E257" i="147"/>
  <c r="E344"/>
  <c r="E329" s="1"/>
  <c r="E328" s="1"/>
  <c r="F739" i="155"/>
  <c r="E141" i="147"/>
  <c r="E215"/>
  <c r="E503"/>
  <c r="E485" s="1"/>
  <c r="E193"/>
  <c r="E181"/>
  <c r="E173" s="1"/>
  <c r="E164" s="1"/>
  <c r="E460"/>
  <c r="E459" s="1"/>
  <c r="E430" s="1"/>
  <c r="I10" i="199"/>
  <c r="D76" i="147"/>
  <c r="D75" s="1"/>
  <c r="E501" i="155"/>
  <c r="E500" s="1"/>
  <c r="E499" s="1"/>
  <c r="E498" s="1"/>
  <c r="D232" i="147"/>
  <c r="E557" i="155"/>
  <c r="E556" s="1"/>
  <c r="E555" s="1"/>
  <c r="E545" s="1"/>
  <c r="F24"/>
  <c r="F23" s="1"/>
  <c r="F22" s="1"/>
  <c r="F21" s="1"/>
  <c r="G627" i="154"/>
  <c r="G626" s="1"/>
  <c r="G625" s="1"/>
  <c r="G624" s="1"/>
  <c r="G623" s="1"/>
  <c r="G622" s="1"/>
  <c r="D520" i="147"/>
  <c r="D513" s="1"/>
  <c r="D31" i="143"/>
  <c r="F627" i="154"/>
  <c r="F626" s="1"/>
  <c r="F625" s="1"/>
  <c r="F624" s="1"/>
  <c r="F623" s="1"/>
  <c r="F622" s="1"/>
  <c r="E587" i="155"/>
  <c r="E586" s="1"/>
  <c r="E585" s="1"/>
  <c r="E564" s="1"/>
  <c r="C31" i="143" s="1"/>
  <c r="F47" i="155"/>
  <c r="F46" s="1"/>
  <c r="F45" s="1"/>
  <c r="F44" s="1"/>
  <c r="D11" i="143" s="1"/>
  <c r="E47" i="155"/>
  <c r="E46" s="1"/>
  <c r="E45" s="1"/>
  <c r="E44" s="1"/>
  <c r="C11" i="143" s="1"/>
  <c r="E24" i="155"/>
  <c r="E23" s="1"/>
  <c r="E22" s="1"/>
  <c r="E21" s="1"/>
  <c r="C9" i="143" s="1"/>
  <c r="G13" i="154"/>
  <c r="G12" s="1"/>
  <c r="G11" s="1"/>
  <c r="G10" s="1"/>
  <c r="F13"/>
  <c r="F12" s="1"/>
  <c r="F11" s="1"/>
  <c r="F10" s="1"/>
  <c r="G546"/>
  <c r="G545" s="1"/>
  <c r="G544" s="1"/>
  <c r="G543" s="1"/>
  <c r="G542" s="1"/>
  <c r="G541" s="1"/>
  <c r="F546"/>
  <c r="F545" s="1"/>
  <c r="F544" s="1"/>
  <c r="F543" s="1"/>
  <c r="F542" s="1"/>
  <c r="F541" s="1"/>
  <c r="F849"/>
  <c r="F848" s="1"/>
  <c r="F847" s="1"/>
  <c r="F826" s="1"/>
  <c r="G849"/>
  <c r="G848" s="1"/>
  <c r="G847" s="1"/>
  <c r="G826" s="1"/>
  <c r="E762" i="155"/>
  <c r="E761" s="1"/>
  <c r="E760" s="1"/>
  <c r="D10" i="147"/>
  <c r="D417"/>
  <c r="D416" s="1"/>
  <c r="G286" i="154"/>
  <c r="G285" s="1"/>
  <c r="F286"/>
  <c r="F285" s="1"/>
  <c r="F691"/>
  <c r="F231" i="155"/>
  <c r="F230" s="1"/>
  <c r="D20" i="143" s="1"/>
  <c r="E231" i="155"/>
  <c r="E230" s="1"/>
  <c r="C20" i="143" s="1"/>
  <c r="G565" i="154"/>
  <c r="G564" s="1"/>
  <c r="G563" s="1"/>
  <c r="G562" s="1"/>
  <c r="G561" s="1"/>
  <c r="F565"/>
  <c r="F564" s="1"/>
  <c r="F563" s="1"/>
  <c r="F562" s="1"/>
  <c r="F561" s="1"/>
  <c r="E623" i="155"/>
  <c r="D290" i="147"/>
  <c r="D273" s="1"/>
  <c r="F302" i="155"/>
  <c r="F285" s="1"/>
  <c r="F269" s="1"/>
  <c r="F268" s="1"/>
  <c r="E400"/>
  <c r="E708"/>
  <c r="E707" s="1"/>
  <c r="E692" s="1"/>
  <c r="C37" i="143" s="1"/>
  <c r="D431" i="147"/>
  <c r="D430" s="1"/>
  <c r="D334"/>
  <c r="D329" s="1"/>
  <c r="F194" i="155"/>
  <c r="F189" s="1"/>
  <c r="E285"/>
  <c r="D371" i="147"/>
  <c r="D370" s="1"/>
  <c r="G792" i="154"/>
  <c r="G791" s="1"/>
  <c r="G790" s="1"/>
  <c r="F792"/>
  <c r="F791" s="1"/>
  <c r="F790" s="1"/>
  <c r="E253" i="155"/>
  <c r="E252" s="1"/>
  <c r="E251" s="1"/>
  <c r="F253"/>
  <c r="F252" s="1"/>
  <c r="F251" s="1"/>
  <c r="F250" s="1"/>
  <c r="E376"/>
  <c r="E371" s="1"/>
  <c r="D215" i="147"/>
  <c r="F673" i="155"/>
  <c r="F672" s="1"/>
  <c r="F671" s="1"/>
  <c r="D35" i="143" s="1"/>
  <c r="E673" i="155"/>
  <c r="F662" i="154"/>
  <c r="G662"/>
  <c r="G454"/>
  <c r="G453" s="1"/>
  <c r="F454"/>
  <c r="F453" s="1"/>
  <c r="F434"/>
  <c r="F433" s="1"/>
  <c r="F432" s="1"/>
  <c r="G433"/>
  <c r="G432" s="1"/>
  <c r="G422" s="1"/>
  <c r="E223" i="155"/>
  <c r="E214" s="1"/>
  <c r="E171"/>
  <c r="E170" s="1"/>
  <c r="F171"/>
  <c r="F170" s="1"/>
  <c r="G691" i="154"/>
  <c r="G690" s="1"/>
  <c r="F639"/>
  <c r="F329"/>
  <c r="F493"/>
  <c r="D411" i="147"/>
  <c r="D410" s="1"/>
  <c r="F426" i="154"/>
  <c r="F425" s="1"/>
  <c r="F424" s="1"/>
  <c r="F423" s="1"/>
  <c r="F357"/>
  <c r="E798" i="155"/>
  <c r="E797" s="1"/>
  <c r="E796" s="1"/>
  <c r="E795" s="1"/>
  <c r="C42" i="143" s="1"/>
  <c r="C41" s="1"/>
  <c r="G493" i="154"/>
  <c r="G329"/>
  <c r="G639"/>
  <c r="E347" i="155"/>
  <c r="G42" i="154"/>
  <c r="G41" s="1"/>
  <c r="G40" s="1"/>
  <c r="F155" i="155"/>
  <c r="F144" s="1"/>
  <c r="F137" s="1"/>
  <c r="F208" i="154"/>
  <c r="F207" s="1"/>
  <c r="D197" i="147"/>
  <c r="D193" s="1"/>
  <c r="E732" i="155"/>
  <c r="E687"/>
  <c r="H9" i="199" s="1"/>
  <c r="H10" s="1"/>
  <c r="D174" i="147"/>
  <c r="F42" i="154"/>
  <c r="F41" s="1"/>
  <c r="F40" s="1"/>
  <c r="F140"/>
  <c r="F139" s="1"/>
  <c r="F138" s="1"/>
  <c r="F137" s="1"/>
  <c r="G140"/>
  <c r="G139" s="1"/>
  <c r="G138" s="1"/>
  <c r="G137" s="1"/>
  <c r="E204" i="155"/>
  <c r="E189" s="1"/>
  <c r="E121"/>
  <c r="E120" s="1"/>
  <c r="F72"/>
  <c r="G357" i="154"/>
  <c r="E460" i="155"/>
  <c r="E459" s="1"/>
  <c r="D37" i="147"/>
  <c r="D36" s="1"/>
  <c r="F624" i="155"/>
  <c r="F623" s="1"/>
  <c r="E109"/>
  <c r="E108" s="1"/>
  <c r="F109"/>
  <c r="D124" i="147"/>
  <c r="D123" s="1"/>
  <c r="C16" i="143"/>
  <c r="F79" i="155"/>
  <c r="D181" i="147"/>
  <c r="F692" i="155"/>
  <c r="D37" i="143" s="1"/>
  <c r="D205" i="147"/>
  <c r="F798" i="155"/>
  <c r="F797" s="1"/>
  <c r="F796" s="1"/>
  <c r="F732"/>
  <c r="F731" s="1"/>
  <c r="F722" s="1"/>
  <c r="F606"/>
  <c r="F605" s="1"/>
  <c r="E605"/>
  <c r="G208" i="154"/>
  <c r="G207" s="1"/>
  <c r="E739" i="155"/>
  <c r="E271"/>
  <c r="E270" s="1"/>
  <c r="D533" i="147"/>
  <c r="F13" i="155"/>
  <c r="E155"/>
  <c r="E144" s="1"/>
  <c r="E137" s="1"/>
  <c r="F686"/>
  <c r="E72"/>
  <c r="E71" s="1"/>
  <c r="E70" s="1"/>
  <c r="D99" i="147"/>
  <c r="D142"/>
  <c r="D141" s="1"/>
  <c r="E13" i="155"/>
  <c r="E188" i="147" l="1"/>
  <c r="E122" s="1"/>
  <c r="E7" s="1"/>
  <c r="F795" i="155"/>
  <c r="F794" s="1"/>
  <c r="D503" i="147"/>
  <c r="D485" s="1"/>
  <c r="G9" i="154"/>
  <c r="F9"/>
  <c r="D9" i="143"/>
  <c r="E12" i="155"/>
  <c r="E11" s="1"/>
  <c r="E10" s="1"/>
  <c r="E9" s="1"/>
  <c r="F12"/>
  <c r="F11" s="1"/>
  <c r="F10" s="1"/>
  <c r="F9" s="1"/>
  <c r="D8" i="143" s="1"/>
  <c r="E250" i="155"/>
  <c r="C23" i="143" s="1"/>
  <c r="D395" i="147"/>
  <c r="D381" s="1"/>
  <c r="D28" i="143"/>
  <c r="F108" i="155"/>
  <c r="F107" s="1"/>
  <c r="D9" i="147"/>
  <c r="D8" s="1"/>
  <c r="F350" i="154"/>
  <c r="F349" s="1"/>
  <c r="G350"/>
  <c r="G349" s="1"/>
  <c r="F670" i="155"/>
  <c r="D188" i="147"/>
  <c r="E686" i="155"/>
  <c r="E681" s="1"/>
  <c r="E680" s="1"/>
  <c r="C36" i="143" s="1"/>
  <c r="D26"/>
  <c r="E370" i="155"/>
  <c r="E346" s="1"/>
  <c r="C26" i="143" s="1"/>
  <c r="F638" i="154"/>
  <c r="G638"/>
  <c r="G452"/>
  <c r="F721" i="155"/>
  <c r="F720" s="1"/>
  <c r="D39" i="143" s="1"/>
  <c r="C40"/>
  <c r="F452" i="154"/>
  <c r="F681" i="155"/>
  <c r="F680" s="1"/>
  <c r="F679" s="1"/>
  <c r="D17" i="143"/>
  <c r="F162" i="155"/>
  <c r="C17" i="143"/>
  <c r="C15" s="1"/>
  <c r="E162" i="155"/>
  <c r="D27" i="143"/>
  <c r="C28"/>
  <c r="F284" i="154"/>
  <c r="F761" i="155"/>
  <c r="F760" s="1"/>
  <c r="D257" i="147"/>
  <c r="E672" i="155"/>
  <c r="E671" s="1"/>
  <c r="C35" i="143" s="1"/>
  <c r="G188" i="154"/>
  <c r="F188"/>
  <c r="E794" i="155"/>
  <c r="G284" i="154"/>
  <c r="E731" i="155"/>
  <c r="E722" s="1"/>
  <c r="D328" i="147"/>
  <c r="D173"/>
  <c r="D164" s="1"/>
  <c r="E604" i="155"/>
  <c r="F71"/>
  <c r="F70" s="1"/>
  <c r="E188"/>
  <c r="E187" s="1"/>
  <c r="E399"/>
  <c r="E398" s="1"/>
  <c r="E269"/>
  <c r="E268" s="1"/>
  <c r="F188"/>
  <c r="F187" s="1"/>
  <c r="E107"/>
  <c r="E69" s="1"/>
  <c r="C14" i="143" s="1"/>
  <c r="F604" i="155"/>
  <c r="C30" i="143"/>
  <c r="D30"/>
  <c r="D23"/>
  <c r="E670" i="155"/>
  <c r="F422" i="154"/>
  <c r="D15" i="143" l="1"/>
  <c r="D42"/>
  <c r="C8"/>
  <c r="C7" s="1"/>
  <c r="E8" i="155"/>
  <c r="F69"/>
  <c r="F8" s="1"/>
  <c r="D122" i="147"/>
  <c r="D7" s="1"/>
  <c r="F597" i="155"/>
  <c r="D33" i="143" s="1"/>
  <c r="E597" i="155"/>
  <c r="C33" i="143" s="1"/>
  <c r="C32" s="1"/>
  <c r="F669" i="155"/>
  <c r="G637" i="154"/>
  <c r="G636" s="1"/>
  <c r="E679" i="155"/>
  <c r="E669" s="1"/>
  <c r="E721"/>
  <c r="E720" s="1"/>
  <c r="C39" i="143" s="1"/>
  <c r="C38" s="1"/>
  <c r="D36"/>
  <c r="C27"/>
  <c r="C25" s="1"/>
  <c r="D40"/>
  <c r="F719" i="155"/>
  <c r="C24" i="143"/>
  <c r="C21" s="1"/>
  <c r="D24"/>
  <c r="F242" i="155"/>
  <c r="C34" i="143"/>
  <c r="G8" i="154"/>
  <c r="D25" i="143"/>
  <c r="D19"/>
  <c r="C19"/>
  <c r="C18" s="1"/>
  <c r="F8" i="154"/>
  <c r="F345" i="155"/>
  <c r="D34" i="143" l="1"/>
  <c r="D18"/>
  <c r="D38"/>
  <c r="D32"/>
  <c r="D21"/>
  <c r="D41"/>
  <c r="D14"/>
  <c r="F596" i="155"/>
  <c r="E596"/>
  <c r="C6" i="143"/>
  <c r="G7" i="154"/>
  <c r="E719" i="155"/>
  <c r="E242"/>
  <c r="E345"/>
  <c r="E186"/>
  <c r="F186"/>
  <c r="D7" i="143" l="1"/>
  <c r="F7" i="155"/>
  <c r="E7"/>
  <c r="D6" i="143" l="1"/>
  <c r="F690" i="154"/>
  <c r="F637" s="1"/>
  <c r="F636" s="1"/>
  <c r="F7" l="1"/>
</calcChain>
</file>

<file path=xl/sharedStrings.xml><?xml version="1.0" encoding="utf-8"?>
<sst xmlns="http://schemas.openxmlformats.org/spreadsheetml/2006/main" count="6741" uniqueCount="1081">
  <si>
    <t>Всего: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</si>
  <si>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</si>
  <si>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Торжокская городская Дума</t>
  </si>
  <si>
    <t>1</t>
  </si>
  <si>
    <t>0501</t>
  </si>
  <si>
    <t>Жилищное хозяйство</t>
  </si>
  <si>
    <t>0409</t>
  </si>
  <si>
    <t>Обеспечение деятельности финансовых, налоговых и таможенных органов и органов финансового (финансово-бюджетного) надзора</t>
  </si>
  <si>
    <t>Резервные фонды</t>
  </si>
  <si>
    <t>011</t>
  </si>
  <si>
    <t>Дошкольное образование</t>
  </si>
  <si>
    <t>Общее образование</t>
  </si>
  <si>
    <t>Другие вопросы в области образования</t>
  </si>
  <si>
    <t>Культура</t>
  </si>
  <si>
    <t>006</t>
  </si>
  <si>
    <t>ППП</t>
  </si>
  <si>
    <t>КЦСР</t>
  </si>
  <si>
    <t>КВР</t>
  </si>
  <si>
    <t>Наименование</t>
  </si>
  <si>
    <t>001</t>
  </si>
  <si>
    <t>Общегосударственные вопросы</t>
  </si>
  <si>
    <t>Функционирование законодательных (представительных) органов государственной власти и представительных органов муниципальных образований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</si>
  <si>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</si>
  <si>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Другие общегосударственные вопросы</t>
  </si>
  <si>
    <t>Национальная безопасность и правоохранительная деятельность</t>
  </si>
  <si>
    <t>Национальная экономика</t>
  </si>
  <si>
    <t>Другие вопросы в области национальной экономики</t>
  </si>
  <si>
    <t>Жилищно-коммунальное хозяйство</t>
  </si>
  <si>
    <t>Благоустройство</t>
  </si>
  <si>
    <t>Образование</t>
  </si>
  <si>
    <t>Физическая культура и спорт</t>
  </si>
  <si>
    <t>Социальная политика</t>
  </si>
  <si>
    <t>Пенсионное обеспечение</t>
  </si>
  <si>
    <t>005</t>
  </si>
  <si>
    <t>Социальное обеспечение населения</t>
  </si>
  <si>
    <t>002</t>
  </si>
  <si>
    <t>РП</t>
  </si>
  <si>
    <t>0700</t>
  </si>
  <si>
    <t>0707</t>
  </si>
  <si>
    <t>1000</t>
  </si>
  <si>
    <t>1003</t>
  </si>
  <si>
    <t>0800</t>
  </si>
  <si>
    <t>0801</t>
  </si>
  <si>
    <t>0103</t>
  </si>
  <si>
    <t>0104</t>
  </si>
  <si>
    <t>0106</t>
  </si>
  <si>
    <t>0111</t>
  </si>
  <si>
    <t>0412</t>
  </si>
  <si>
    <t>0503</t>
  </si>
  <si>
    <t>0701</t>
  </si>
  <si>
    <t>0702</t>
  </si>
  <si>
    <t>0709</t>
  </si>
  <si>
    <t>1001</t>
  </si>
  <si>
    <t>0100</t>
  </si>
  <si>
    <t>0300</t>
  </si>
  <si>
    <t>0400</t>
  </si>
  <si>
    <t>0500</t>
  </si>
  <si>
    <t>ВСЕГО</t>
  </si>
  <si>
    <t>0113</t>
  </si>
  <si>
    <t>1100</t>
  </si>
  <si>
    <t>Массовый спорт</t>
  </si>
  <si>
    <t>Средства массовой информации</t>
  </si>
  <si>
    <t>1204</t>
  </si>
  <si>
    <t>Другие вопросы в области средств массовой информации</t>
  </si>
  <si>
    <t/>
  </si>
  <si>
    <t>Пенсии за выслугу лет к трудовой пенсии по старости (инвалидности) лицам, замещавшим должности муниципальной службы муниципального образования город Торжок</t>
  </si>
  <si>
    <t>100</t>
  </si>
  <si>
    <t>200</t>
  </si>
  <si>
    <t>800</t>
  </si>
  <si>
    <t>Иные бюджетные ассигнования</t>
  </si>
  <si>
    <t>400</t>
  </si>
  <si>
    <t>300</t>
  </si>
  <si>
    <t>Социальное обеспечение и иные выплаты населению</t>
  </si>
  <si>
    <t>0304</t>
  </si>
  <si>
    <t>Органы юстиции</t>
  </si>
  <si>
    <t>2</t>
  </si>
  <si>
    <t>3</t>
  </si>
  <si>
    <t>4</t>
  </si>
  <si>
    <t>5</t>
  </si>
  <si>
    <t>6</t>
  </si>
  <si>
    <t xml:space="preserve">Культура,  кинематография </t>
  </si>
  <si>
    <t>Предоставление субсидий бюджетным, автономным учреждениям и иным некоммерческим организациям</t>
  </si>
  <si>
    <t>1004</t>
  </si>
  <si>
    <t>Охрана семьи и детства</t>
  </si>
  <si>
    <t>1102</t>
  </si>
  <si>
    <t>Дорожное хозяйство (дорожные фонды)</t>
  </si>
  <si>
    <t>0703</t>
  </si>
  <si>
    <t>Дополнительное образование детей</t>
  </si>
  <si>
    <t>1200</t>
  </si>
  <si>
    <t>7</t>
  </si>
  <si>
    <t>Закупка товаров, работ и услуг для обеспечения  государственных (муниципальных ) нужд</t>
  </si>
  <si>
    <t>Капитальные  вложения в объекты недвижимого имущества государственной (муниципальной) собственности</t>
  </si>
  <si>
    <t>600</t>
  </si>
  <si>
    <t>Предоставление субсидий  бюджетным, автономным учреждениям и иным некоммерческим организациям</t>
  </si>
  <si>
    <t xml:space="preserve">Молодежная политика </t>
  </si>
  <si>
    <t xml:space="preserve">Уплата налогов, сборов и иных платежей </t>
  </si>
  <si>
    <t>320</t>
  </si>
  <si>
    <t>Социальные выплаты гражданам, кроме публичных нормативных социальных выплат</t>
  </si>
  <si>
    <t>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</t>
  </si>
  <si>
    <t>Субсидии бюджетным учреждениям</t>
  </si>
  <si>
    <t>Расходы, не включенные в муниципальные программы</t>
  </si>
  <si>
    <t>Оценка недвижимости, признание прав и регулирование отношений по муниципальной собственности</t>
  </si>
  <si>
    <t>Подпрограмма "Обеспечение эффективного управления имуществом города и вовлечение его в хозяйственный оборот"</t>
  </si>
  <si>
    <t>Мероприятие "Управление муниципальным имуществом"</t>
  </si>
  <si>
    <t xml:space="preserve">Содержание имущества казны муниципального образования </t>
  </si>
  <si>
    <t>9900000000</t>
  </si>
  <si>
    <t xml:space="preserve">Формирование земельных участков, находящихся в ведении муниципального образования </t>
  </si>
  <si>
    <t>Мероприятие "Формирование муниципального жилищного фонда"</t>
  </si>
  <si>
    <t>Взносы на капитальный ремонт общего домового имущества многоквартирных домов в части доли имущества, находящегося в муниципальной собственности</t>
  </si>
  <si>
    <t>Подпрограмма  "Создание условий для воспитания гармоничного развития личности"</t>
  </si>
  <si>
    <t>Мероприятие  "Поддержка деятельности городских трудовых объединений молодежи по организации временной занятости обучающихся в свободное от учебы время"</t>
  </si>
  <si>
    <t>Организация временной занятости несовершеннолетних в свободное от учебы время</t>
  </si>
  <si>
    <t>Обеспечение деятельности исполнительно-распорядительного органа местного самоуправления</t>
  </si>
  <si>
    <t>Обеспечение деятельности исполнительно-распорядительных органов местного самоуправления за исключением переданных государственных полномочий</t>
  </si>
  <si>
    <t>410</t>
  </si>
  <si>
    <t>Бюджетные инвестиции</t>
  </si>
  <si>
    <t>Подпрограмма "Дополнительное образование "</t>
  </si>
  <si>
    <t>Мероприятие "Оказание муниципальных услуг, выполнение работ муниципальными организациями, реализующими программы дополнительного образования"</t>
  </si>
  <si>
    <t>Оказание муниципальными учреждениями муниципальных услуг, выполнение работ</t>
  </si>
  <si>
    <t>Подпрограмма "Дорожное хозяйство "</t>
  </si>
  <si>
    <t>Содержание автомобильных дорог общего пользования местного значения и искусственных сооружений на них</t>
  </si>
  <si>
    <t>Подпрограмма "Обеспечение безопасности дорожного движения"</t>
  </si>
  <si>
    <t>Разметка объектов дорожного хозяйства</t>
  </si>
  <si>
    <t>Мероприятие  "Содержание объектов благоустройства"</t>
  </si>
  <si>
    <t>Уличное освещение в границах города</t>
  </si>
  <si>
    <t>Озеленение территорий</t>
  </si>
  <si>
    <t>Содержание мест захоронения</t>
  </si>
  <si>
    <t>Подпрограмма  "Формирование благоприятной социальной среды и развитие международных, межмуниципальных связей"</t>
  </si>
  <si>
    <t>Мероприятие  "Развитие международных и межмуниципальных связей"</t>
  </si>
  <si>
    <t>Проведение конкурсов, фестивалей, выставок для обучающейся молодежи</t>
  </si>
  <si>
    <t>Именные стипендии Главы города</t>
  </si>
  <si>
    <t>Мероприятие  "Проведение общегородских мероприятий в области молодежной политики"</t>
  </si>
  <si>
    <t>Проведение мероприятий по профилактике безнадзорности и правонарушений несовершеннолетних</t>
  </si>
  <si>
    <t xml:space="preserve">Подпрограмма "Создание условий для организации досуга и обеспечения жителей города услугами организаций культуры" </t>
  </si>
  <si>
    <t>Проведение общегородских мероприятий</t>
  </si>
  <si>
    <t>310</t>
  </si>
  <si>
    <t>Публичные нормативные социальные выплаты гражданам</t>
  </si>
  <si>
    <t>Субсидии социально ориентированным некоммерческим организациям в реализации ими целевых социальных проектов</t>
  </si>
  <si>
    <t>Субсидии некоммерческим организациям (за исключением государственных (муниципальных) учреждений)</t>
  </si>
  <si>
    <t>Мероприятие "Поощрение жителей города, добившихся значительных успехов в различных сферах деятельности"</t>
  </si>
  <si>
    <t>Поддержка средств массовой информации  города учредителем (соучредителем) которого является администрация города Торжка на условиях софинансирования</t>
  </si>
  <si>
    <t>Обеспечение деятельности органов местного самоуправления и учреждений, обеспечивающих их деятельность</t>
  </si>
  <si>
    <t>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</t>
  </si>
  <si>
    <t>Проведение конкурсов "Лучший по профессии" и "Новотор года"</t>
  </si>
  <si>
    <t>Премии и гранты</t>
  </si>
  <si>
    <t>Организационное обеспечение проведения мероприятий с участием Главы города"</t>
  </si>
  <si>
    <t>Подпрограмма "Обеспечение безопасности территории города"</t>
  </si>
  <si>
    <t>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</si>
  <si>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0105</t>
  </si>
  <si>
    <t>Судебная система</t>
  </si>
  <si>
    <t>Мероприятия, не включенные в муниципальные программы муниципального образования город Торжок</t>
  </si>
  <si>
    <t>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</si>
  <si>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Обеспечение деятельности учреждений, обеспечивающих деятельность органов местного самоуправления</t>
  </si>
  <si>
    <t>Расходы на выплаты персоналу казенных учреждений</t>
  </si>
  <si>
    <t>Осуществление государственных полномочий на государственную регистрацию актов гражданского состояния</t>
  </si>
  <si>
    <t>870</t>
  </si>
  <si>
    <t>Резервные средства</t>
  </si>
  <si>
    <t>Обеспечение деятельности  представительного органа местного самоуправления</t>
  </si>
  <si>
    <t>Обеспечение деятельности центрального аппарата Торжокской городской Думы</t>
  </si>
  <si>
    <t>Подпрограмма "Общее образование "</t>
  </si>
  <si>
    <t>Мероприятие "Оказание муниципальных услуг, выполнение работ муниципальными образовательными организациями, реализующими основные общеобразовательные программы"</t>
  </si>
  <si>
    <t>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</si>
  <si>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Мероприятие "Организация питания учащихся начальных классов общеобразовательных учреждений"</t>
  </si>
  <si>
    <t>Мероприятие  "Организация отдыха детей в каникулярное время "</t>
  </si>
  <si>
    <t xml:space="preserve">Софинансирование расходных обязательств по организации отдыха детей в каникулярное время </t>
  </si>
  <si>
    <t>Мероприятие  "Реализация механизмов развития  кадрового потенциала  образовательных организаций"</t>
  </si>
  <si>
    <t>Укрепление и развитие кадрового потенциала в системе образования, стимулирование высокого качества работы</t>
  </si>
  <si>
    <t>Мероприятие "Обеспечение мер социальной защиты в образовательных организациях, реализующих основные общеобразовательные программы"</t>
  </si>
  <si>
    <t>Мероприятие "Оказание поддержки гражданам и их объединениям, участвующим в охране общественного порядка, создание условий для деятельности народных дружин"</t>
  </si>
  <si>
    <t xml:space="preserve">Поощрение народных дружин, участвующих в охране общественного порядка </t>
  </si>
  <si>
    <t>Мероприятие "Оказание муниципальных услуг, выполнение работ муниципальными учреждениями в сфере предупреждения и ликвидации последствий чрезвычайных ситуаций"</t>
  </si>
  <si>
    <t>Мероприятие  "Содержание объектов дорожного хозяйства"</t>
  </si>
  <si>
    <t>Мероприятие  "Проектирование, капитальный ремонт и ремонт автомобильных дорог общего пользования местного значения и искусственных сооружений на них"</t>
  </si>
  <si>
    <t>Мероприятие "Содержание и ремонт технических средств организации дорожного движения"</t>
  </si>
  <si>
    <t>Подпрограмма "Организация благоустройства территории города"</t>
  </si>
  <si>
    <t>Подпрограмма "Организация библиотечного обслуживания населения"</t>
  </si>
  <si>
    <t xml:space="preserve">Мероприятие "Оказание муниципальных услуг, выполнение работ муниципальными библиотеками" </t>
  </si>
  <si>
    <t>Мероприятие  "Приобретение основных средств, не относящихся к объектам недвижимости, муниципальными библиотеками"</t>
  </si>
  <si>
    <t>Мероприятие  "Оказание муниципальных услуг, выполнение работ муниципальными учреждениями культурно-досугового типа"</t>
  </si>
  <si>
    <t>Мероприятие  "Проведение общегородских мероприятий в области культуры"</t>
  </si>
  <si>
    <t>Мероприятие "Поддержка отдельных категорий граждан"</t>
  </si>
  <si>
    <t>Мероприятие "Поддержка социально ориентированных некоммерческих организаций"</t>
  </si>
  <si>
    <t>Социальная поддержка лиц, удостоенных звания "Почетный гражданин города Торжка"</t>
  </si>
  <si>
    <t>Мероприятие "Поддержка средств массовой информации  города"</t>
  </si>
  <si>
    <t>Подпрограмма "Массовая физкультурно-спортивная работа"</t>
  </si>
  <si>
    <t>Мероприятие "Оказание муниципальных услуг, выполнение работ муниципальными учреждениями  спортивной направленности"</t>
  </si>
  <si>
    <t>Мероприятие "Возмещение недополученных доходов в связи с выполнением работ, оказанием услуг для льготной категории потребителей муниципальными учреждениями спортивной направленности"</t>
  </si>
  <si>
    <t xml:space="preserve">Возмещение недополученных доходов  </t>
  </si>
  <si>
    <t>Мероприятие "Организация и проведение спортивно-массовых мероприятий и соревнований"</t>
  </si>
  <si>
    <t>Участие спортсменов города в спортивно массовых мероприятиях всероссийского и регионального уровней</t>
  </si>
  <si>
    <t>0705</t>
  </si>
  <si>
    <t>Подпрограмма "Создание условий для эффективного функционирования исполнительных органов местного самоуправления"</t>
  </si>
  <si>
    <t xml:space="preserve">Информационно-справочное обеспечение  </t>
  </si>
  <si>
    <t>Мероприятие "Развитие кадрового потенциала исполнительных органов местного самоуправления"</t>
  </si>
  <si>
    <t>Мероприятие "Мониторинг социально-экономического развития муниципального образования"</t>
  </si>
  <si>
    <t>Повышение квалификации кадров</t>
  </si>
  <si>
    <t xml:space="preserve">Участие в работе общественных объединений и ассоциаций муниципальных образований </t>
  </si>
  <si>
    <t>Подпрограмма "Развитие информационно-коммуникационной инфраструктуры органов местного самоуправления и муниципальных учреждений"</t>
  </si>
  <si>
    <t>Мероприятие "Обеспечение централизованного размещения городских информационных систем и ресурсов на базе муниципального казенного учреждения"</t>
  </si>
  <si>
    <t xml:space="preserve">Обеспечение программное прикладное для решения конкретных отраслевых задач, управления процессами организациии и услуги по его сопровождению </t>
  </si>
  <si>
    <t>Мероприятие "Обеспечение информационной безопасности  деятельности  органов местного самоуправления и муниципальных учреждений"</t>
  </si>
  <si>
    <t>Программные средства обеспечения информационной безопасности</t>
  </si>
  <si>
    <t>Мероприятие  "Реализация механизмов развития  потенциала обучающихся"</t>
  </si>
  <si>
    <t>Проведение олимпиад, конкурсов, фестивалей, выставок для обучающихся муниципальных образовательных учреждений</t>
  </si>
  <si>
    <t>Информационное, компьютерное и телекоммуникационное оборудование, системное программное обеспечение и офисные приложения</t>
  </si>
  <si>
    <t>Подпрограмма "Благоустройство дворовых и общественных территорий в целях реализации приоритетного проекта "Формирование комфортной городской среды"</t>
  </si>
  <si>
    <t>Мероприятие  "Организация деятельности по сбору (в том числе раздельному сбору), транспортированию, обработке, утилизации, обезвреживанию, захоронению твердых коммунальных отходов"</t>
  </si>
  <si>
    <t>0108</t>
  </si>
  <si>
    <t xml:space="preserve"> Международные отношения и международное сотрудничество</t>
  </si>
  <si>
    <t>Международные отношения и международное сотрудничество</t>
  </si>
  <si>
    <t>Организационное обеспечение проведения мероприятий с участием Главы города</t>
  </si>
  <si>
    <t>Компенсация части родительской платы за присмотр и уход за ребенком в муниципальных образовательных организациях и иных образовательных организациях (за исключением государственных образовательных организаций), реализующих образовательную программу дошкольного образования</t>
  </si>
  <si>
    <t>Подпрограмма "Общее образование"</t>
  </si>
  <si>
    <t>Обеспечение предоставления жилых помещений детям-сиротам, детям, оставшимся без попечения родителей, лицам из их числа по договорам найма специализированных жилых помещений  за счет средств областного бюджета</t>
  </si>
  <si>
    <r>
      <t xml:space="preserve">Реализация программы формирования современной городской среды </t>
    </r>
    <r>
      <rPr>
        <i/>
        <sz val="12"/>
        <rFont val="Times New Roman"/>
        <family val="1"/>
        <charset val="204"/>
      </rPr>
      <t xml:space="preserve"> </t>
    </r>
  </si>
  <si>
    <t>Реализация мероприятий по обеспечению жильем молодых семей</t>
  </si>
  <si>
    <t>Иные закупки товаров, работ и услуг для обеспечения
государственных (муниципальных) нужд</t>
  </si>
  <si>
    <t xml:space="preserve"> Расходы на выплаты персоналу государственных
(муниципальных) органов</t>
  </si>
  <si>
    <t>Профессиональная подготовка, переподготовка и повышение квалификации</t>
  </si>
  <si>
    <t>Предоставление платежей, взносов, безвозмездных
перечислений субъектам международного права</t>
  </si>
  <si>
    <t>Поощрение лиц молодежного возраста, добившихся высоких результатов в учебе и общественной жизни</t>
  </si>
  <si>
    <t>Организация участия детей и подростков в социально значимых региональных проектах на условиях софинансирования</t>
  </si>
  <si>
    <t>Мероприятие "Реализация федерального проекта "Формирование комфортной городской среды" в рамках национального проекта "Жилье и городская среда"</t>
  </si>
  <si>
    <t>Реализация проектов по благоустройству</t>
  </si>
  <si>
    <t>Проектирование, капитальный ремонт и ремонт объектов</t>
  </si>
  <si>
    <t>Проведение мероприятий в целях обеспечения безопасности дорожного движения на автомобильных дорогах общего пользования местного значения на условиях софинансирования</t>
  </si>
  <si>
    <t>Мероприятие  "Проектирование, капитальный ремонт и ремонт дворовых территорий многоквартирных домов, проездов к дворовым территориям многоквартирных домов"</t>
  </si>
  <si>
    <t>Подпрограмма " Обеспечение безопасности муниципальных учреждений"</t>
  </si>
  <si>
    <t>0502</t>
  </si>
  <si>
    <t>Коммунальное хозяйство</t>
  </si>
  <si>
    <t>Расходы на повышение заработной платы педагогическим работникам муниципальных организаций дополнительного образования за счет субсидии из областного бюджета</t>
  </si>
  <si>
    <t>Расходы на повышение заработной платы работникам муниципальных учреждений культуры Тверской области за счет субсидии из областного бюджета</t>
  </si>
  <si>
    <t xml:space="preserve">Капитальный ремонт и ремонт улично-дорожной сети города Торжка за счет субсидии из областного бюджета </t>
  </si>
  <si>
    <t xml:space="preserve">Ремонт дворовых территорий многоквартирных домов, проездов к дворовым территориям многоквартирных домов за счет субсидии из областного бюджета </t>
  </si>
  <si>
    <t xml:space="preserve">Проведение мероприятий в целях обеспечения безопасности дорожного движения на автомобильных дорогах общего пользования местного значения за счет субсидии из областного бюджета </t>
  </si>
  <si>
    <t xml:space="preserve">Организация участия детей и подростков в социально значимых региональных проектах за счет субсидии из областного бюджета </t>
  </si>
  <si>
    <t>Организация отдыха детей в каникулярное время за счет субсидии из областного бюджета</t>
  </si>
  <si>
    <t>Поддержка средств массовой информации  города учредителем (соучредителем) которого является администрация города Торжка за счет субсидии из областного бюджета</t>
  </si>
  <si>
    <t>Информирование населения города Торжка о деятельности органов местного самоуправления через электронные и печатные средства массовой информации</t>
  </si>
  <si>
    <t>Расходы на повышение заработной платы педагогическим работникам муниципальных организаций дополнительного образования на условиях софинансирования</t>
  </si>
  <si>
    <t>Расходы на повышение заработной платы работникам муниципальных учреждений культуры  Тверской области на условиях софинансирования</t>
  </si>
  <si>
    <t>Подпрограмма "Обеспечение безопасности муниципальных учреждений"</t>
  </si>
  <si>
    <t>Мероприятие "Проведение капитального ремонта и ремонта объектов недвижимого имущества и (или) особо ценного движимого имущества муниципальными образовательными организациями, реализующими основные общеобразовательные программы"</t>
  </si>
  <si>
    <t xml:space="preserve">Капитальный ремонт и ремонт улично-дорожной сети города Торжка на условиях софинансирования </t>
  </si>
  <si>
    <t>Ремонт дворовых территорий многоквартирных домов, проездов к дворовым территориям многоквартирных домов на условиях софинансирования</t>
  </si>
  <si>
    <t>Спорт высших достижений</t>
  </si>
  <si>
    <t>Подпрограмма "Подготовка спортивного резерва, развитие спорта высших достижений"</t>
  </si>
  <si>
    <t>Мероприятие "Оказание муниципальных услуг, выполнение работ муниципальными учреждениями в сфере спорта высших достижений"</t>
  </si>
  <si>
    <t>Укрепление материально-технической базы муниципальных дошкольных образовательных организаций на условиях софинансирования</t>
  </si>
  <si>
    <t xml:space="preserve">Приложение 1  </t>
  </si>
  <si>
    <t>Источники  финансирования  дефицита  бюджета</t>
  </si>
  <si>
    <t>Код БК РФ</t>
  </si>
  <si>
    <t>000 01 05 00 00 00 0000 000</t>
  </si>
  <si>
    <t>000 01 05 00 00 00 0000 500</t>
  </si>
  <si>
    <t>Увеличение остатков средств бюджетов</t>
  </si>
  <si>
    <t>000 01 05 02 00 00 0000 500</t>
  </si>
  <si>
    <t>Увеличение прочих остатков  средств  бюджетов</t>
  </si>
  <si>
    <t>000 01 05 02 01 04 0000 510</t>
  </si>
  <si>
    <t>Увеличение прочих остатков  денежных средств  бюджетов городских округов</t>
  </si>
  <si>
    <t>000 01 05 00 00 00 0000 600</t>
  </si>
  <si>
    <t>Уменьшение остатков средств бюджетов</t>
  </si>
  <si>
    <t>000 01 05 02 00 00 0000 600</t>
  </si>
  <si>
    <t>Уменьшение прочих остатков  средств  бюджетов</t>
  </si>
  <si>
    <t>000 01 05 02 01 04 0000 610</t>
  </si>
  <si>
    <t>Уменьшение прочих остатков  денежных средств  бюджетов городских округов</t>
  </si>
  <si>
    <t>администрация муниципального образования городской округ город Торжок Тверской области</t>
  </si>
  <si>
    <t>Организация бесплатного горячего питания обучающихся, получающих начальное общее образование в муниципальных образовательных организациях</t>
  </si>
  <si>
    <t>Мероприятие "Обеспечение выплат ежемесячного денежного вознаграждения за классное руководство педагогическим работникам муниципальных общеобразовательных организаций"</t>
  </si>
  <si>
    <t>Ежемесячное денежное вознаграждение за классное руководство педагогическим работникам муниципальных общеобразовательных организаций</t>
  </si>
  <si>
    <t>Управление финансов администрации города Торжка</t>
  </si>
  <si>
    <t xml:space="preserve">Управление образования администрации города Торжка </t>
  </si>
  <si>
    <t>0310</t>
  </si>
  <si>
    <t>Защита населения и территории от чрезвычайных ситуаций природного и техногенного характера, пожарная безопасность</t>
  </si>
  <si>
    <t>Комитет по управлению имуществом муниципального образования городской округ город Торжок Тверской области</t>
  </si>
  <si>
    <t>Модернизация объектов теплоэнергетических комплексов на условиях софинансирования</t>
  </si>
  <si>
    <t>Обеспечение охраны объектов (территорий)</t>
  </si>
  <si>
    <t>Резервный фонд администрации города Торжка</t>
  </si>
  <si>
    <t>Мероприятие "Организация питания учащихся общеобразовательных учреждений с ограниченными возможностями здоровья"</t>
  </si>
  <si>
    <t>Изменение остатков средств на счетах  по учету средств бюджетов</t>
  </si>
  <si>
    <t>000 01 05 02 01 00 0000 510</t>
  </si>
  <si>
    <t>Увеличение прочих остатков денежных средств бюджетов</t>
  </si>
  <si>
    <t>000 01 05 02 01 00 0000 610</t>
  </si>
  <si>
    <t>Уменьшение прочих остатков денежных средств бюджетов</t>
  </si>
  <si>
    <t>Итого источники внутреннего финансирования дефицита бюджета</t>
  </si>
  <si>
    <t>Организация обеспечения питанием учащихся муниципальных общеобразовательных учреждений с  ограниченными возможностями здоровья</t>
  </si>
  <si>
    <t xml:space="preserve">к решению Торжокской городской Думы </t>
  </si>
  <si>
    <t>Проектирование, строительство и реконструкция объектов</t>
  </si>
  <si>
    <t>Мероприятие "Благоустройство земельных участков с целью обеспечения безопасности зданий, сооружений, территорий муниципальных учреждений"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</si>
  <si>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на условиях софинансирования</t>
  </si>
  <si>
    <t>24102S1050</t>
  </si>
  <si>
    <t>24103S1020</t>
  </si>
  <si>
    <t>242R300000</t>
  </si>
  <si>
    <t>242R311090</t>
  </si>
  <si>
    <t>242R3S1090</t>
  </si>
  <si>
    <t>24301S0110</t>
  </si>
  <si>
    <t>231F200000</t>
  </si>
  <si>
    <t>231F220100</t>
  </si>
  <si>
    <t>231F255550</t>
  </si>
  <si>
    <t>21201S0690</t>
  </si>
  <si>
    <t xml:space="preserve">2240600000  </t>
  </si>
  <si>
    <t xml:space="preserve">2240620430  </t>
  </si>
  <si>
    <t xml:space="preserve">2240620440  </t>
  </si>
  <si>
    <t>22101S0680</t>
  </si>
  <si>
    <t xml:space="preserve">22201S0680   </t>
  </si>
  <si>
    <t xml:space="preserve">22404L4970  </t>
  </si>
  <si>
    <t xml:space="preserve">22403S0320  </t>
  </si>
  <si>
    <t>2110110740</t>
  </si>
  <si>
    <t>2110120010</t>
  </si>
  <si>
    <t xml:space="preserve">25202S1040  </t>
  </si>
  <si>
    <t xml:space="preserve">21301S1080  </t>
  </si>
  <si>
    <t xml:space="preserve">21104S0240  </t>
  </si>
  <si>
    <t>Муниципальная программа муниципального образования город Торжок "Развитие социальной  инфраструктуры города Торжка" на 2022  - 2027 годы</t>
  </si>
  <si>
    <t>Муниципальная программа муниципального образования город Торжок "Безопасный город" на 2022  - 2027 годы</t>
  </si>
  <si>
    <t>Муниципальная программа муниципального образования город Торжок "Развитие образования  города Торжка" на 2022  - 2027 годы</t>
  </si>
  <si>
    <t>Муниципальная программа муниципального образования город Торжок "Развитие транспортной и коммунальной инфраструктуры" на 2022  - 2027 годы</t>
  </si>
  <si>
    <t>Муниципальная программа муниципального образования город Торжок "Формирование современной  городской среды" на 2022  - 2027 годы</t>
  </si>
  <si>
    <t>Муниципальная программа муниципального образования город Торжок "Содействие экономическому развитию города Торжка" на 2022  - 2027 годы</t>
  </si>
  <si>
    <t>Уборка территории города, ликвидация несанкционированных свалок</t>
  </si>
  <si>
    <t>Содержание мест (площадок) накопления ТКО</t>
  </si>
  <si>
    <t>23201S9020</t>
  </si>
  <si>
    <t>212А100000</t>
  </si>
  <si>
    <t>Мероприятие "Реализация федерального проекта "Культурная среда" в рамках национального проекта "Культура"</t>
  </si>
  <si>
    <t>Мероприятие  "Приобретение основных средств, не относящихся к объектам недвижимости муниципальными учреждениями культурно-досугового типа"</t>
  </si>
  <si>
    <t>22203L4670</t>
  </si>
  <si>
    <t>Благоустройство земельных участков</t>
  </si>
  <si>
    <t>Укрепление материально-технической базы муниципальных общеобразовательных учреждений на условиях софинансирования</t>
  </si>
  <si>
    <t>Муниципальная программа муниципального образования город Торжок "Развитие социальной  инфраструктуры города Торжка" 
на 2022  - 2027 годы</t>
  </si>
  <si>
    <t>Муниципальная программа муниципального образования город Торжок "Формирование современной  городской среды" 
на 2022  - 2027 годы</t>
  </si>
  <si>
    <t xml:space="preserve">21105S0440  </t>
  </si>
  <si>
    <t>Подпрограмма "Санитарно-эпидемиологическое благополучие населения"</t>
  </si>
  <si>
    <t>Мероприятие "Обеспечение пожарной безопасности зданий, сооружений, территорий муниципальных учреждений"</t>
  </si>
  <si>
    <t xml:space="preserve">Обеспечение пожарной безопасности </t>
  </si>
  <si>
    <t>Подпрограмма "Развитие коммунально-инженерной инфраструктуры"</t>
  </si>
  <si>
    <t>Мероприятие  "Проектирование, строительство и реконструкция объектов теплоснабжения"</t>
  </si>
  <si>
    <t>Мероприятие "Реализация федерального проекта "Безопасность дорожного движения" в рамках национального проекта "Безопасные  качественные дороги"</t>
  </si>
  <si>
    <t>330</t>
  </si>
  <si>
    <t>Публичные нормативные выплаты гражданам несоциального характера</t>
  </si>
  <si>
    <t>Обеспечение развития и укрепления материально-технической базы муниципальных домов культуры в населенных пунктах с числом жителей до 50 тысяч человек</t>
  </si>
  <si>
    <t>Мероприятие  "Реализация проектов в рамках программы поддержки местных инициатив в Тверской области"</t>
  </si>
  <si>
    <t xml:space="preserve">22502S0480  </t>
  </si>
  <si>
    <t>Мероприятие "Обеспечение охраны объектов (территорий) муниципальных учреждений"</t>
  </si>
  <si>
    <t>Мероприятие "Осуществление мероприятий по улучшению условий и охране труда"</t>
  </si>
  <si>
    <t>Обеспечение  улучшения условий и охраны труда</t>
  </si>
  <si>
    <t>Мероприятие  "Обустройство мест отдыха детей на территории города"</t>
  </si>
  <si>
    <t>Приобретение и установка детских игровых комплексов</t>
  </si>
  <si>
    <t>Обустройство новых мест захоронений</t>
  </si>
  <si>
    <t>212А155195</t>
  </si>
  <si>
    <t>Государственная поддержка отрасли культуры (в части приобретения музыкальных инструментов, оборудования и материалов для детских школ искусств по видам искусств)</t>
  </si>
  <si>
    <t xml:space="preserve">Комплектование книжных фондов муниципальных библиотек </t>
  </si>
  <si>
    <t>Мероприятие  "Приобретение основных средств, не относящихся к объектам недвижимости, муниципальными учреждениями  в сфере спорта высших достижений"</t>
  </si>
  <si>
    <t>26102S0290</t>
  </si>
  <si>
    <t>Обеспечение жилыми помещениями малоимущих многодетных семей, нуждающихся в жилых помещениях на условиях софинансирования</t>
  </si>
  <si>
    <t>Укрепление материально-технической базы муниципальных дошкольных образовательных организаций за счет субсидии из областного бюджета</t>
  </si>
  <si>
    <t>Укрепление материально-технической базы муниципальных общеобразовательных учреждений за счет субсидии из областного бюджета</t>
  </si>
  <si>
    <t>Реализация проекта "Устройство детской площадки, расположенной по адресу: Тверская область, г. Торжок,  Ленинградское шоссе, д.20" в рамках программы поддержки местных инициатив в Тверской области на условиях софинансирования</t>
  </si>
  <si>
    <t>Модернизация объектов теплоэнергетических комплексов за счет субсидии из областного бюджета</t>
  </si>
  <si>
    <t xml:space="preserve">Реализация проекта "Устройство детской площадки, расположенной по адресу: Тверская область, г. Торжок,  Ленинградское шоссе, д.20" в рамках программы поддержки местных инициатив в Тверской области за счет субсидии из областного бюджета </t>
  </si>
  <si>
    <t>2110520020</t>
  </si>
  <si>
    <t>Проведение капитального ремонта и ремонта муниципальными учреждениями</t>
  </si>
  <si>
    <t>Обеспечение функционирования модели персонифицированного финансирования дополнительного образования детей</t>
  </si>
  <si>
    <t>Мероприятие "Формирование безбарьерной среды для лиц с ограниченными возможностями здоровья"</t>
  </si>
  <si>
    <t>Мероприятие "Развитие сетей уличного освещения"</t>
  </si>
  <si>
    <t>Проектирование, строительство и реконструкция  объектов</t>
  </si>
  <si>
    <t>Расходы на исполнение судебных актов по обращению взыскания на средства местного бюджета</t>
  </si>
  <si>
    <t>830</t>
  </si>
  <si>
    <t>Исполнение судебных актов</t>
  </si>
  <si>
    <t>Мероприятие "Установка (расширение) единых функциональных систем: охранной, пожарной сигнализации, системы видеонаблюдения, контроля доступа и иных аналогичных систем, включая работы по модернизации указанных систем"</t>
  </si>
  <si>
    <t>2520120180</t>
  </si>
  <si>
    <t>Установка (расширение) единых функциональных систем в муниципальных учреждениях</t>
  </si>
  <si>
    <t>Обеспечение уровня финансирования физкультурно-спортивных организаций и учреждений дополнительного образования, осуществляющих спортивную подготовку, в соответствии с требованиями федеральных стандартов спортивной подготовки за счет субсидии из областного бюджета</t>
  </si>
  <si>
    <t xml:space="preserve">21103L3041  </t>
  </si>
  <si>
    <t>Обеспечение жилыми помещениями малоимущих многодетных семей, нуждающихся в жилых помещениях за счет субсидии из областного бюджета</t>
  </si>
  <si>
    <t>Мероприятие «Реализация образовательных проектов в рамках поддержки школьных инициатив Тверской области»</t>
  </si>
  <si>
    <t>Реализация проекта «Организация школьного культурно-образовательного арт-пространства» МБОУ «СОШ № 1» города Торжка Тверской области</t>
  </si>
  <si>
    <t>Содержание объектов и элементов благоустройства</t>
  </si>
  <si>
    <t>Мероприятие "Обеспечение безопасности транспортных средств и пешеходов на автомобильных дорогах"</t>
  </si>
  <si>
    <t>Разработка документов по транспортной безопасности на автомобильных дорогах города</t>
  </si>
  <si>
    <t xml:space="preserve">Государственная поддержка отрасли культуры (в части мероприятий по модернизации библиотек в части комплектования книжных фондов библиотек муниципальных образований) </t>
  </si>
  <si>
    <t>22102L5192</t>
  </si>
  <si>
    <t>23201S9040</t>
  </si>
  <si>
    <t>Реализация проекта "Приобретение детского игрового и спортивного оборудования для обустройства детской площадки по адресу Поклонницкий проезд, д. 9 г. Торжок" в рамках программы поддержки местных инициатив в Тверской области на условиях софинансирования</t>
  </si>
  <si>
    <t>Реализация мероприятий по обращениям, поступающим к депутатам Торжокской городской Думы и Законодательного Собрания Тверской области</t>
  </si>
  <si>
    <t>Средства на реализацию мероприятий по обращениям, поступающим к депутатам Законодательного Собрания Тверской области</t>
  </si>
  <si>
    <t xml:space="preserve">Реализация проекта "Приобретение детского игрового и спортивного оборудования для обустройства детской площадки по адресу Поклонницкий проезд, д. 9 г. Торжок" в рамках программы поддержки местных инициатив в Тверской области за счет субсидии из областного бюджета </t>
  </si>
  <si>
    <t>Восстановление воинских захоронений</t>
  </si>
  <si>
    <t xml:space="preserve">Восстановление воинских захоронений </t>
  </si>
  <si>
    <t>211ЕВ51790</t>
  </si>
  <si>
    <t>211ЕВ00000</t>
  </si>
  <si>
    <t>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</si>
  <si>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Приобретение муниципальными учреждениями оборудования и других основных средств</t>
  </si>
  <si>
    <t>Мероприятие  "Приобретение основных средств, не относящихся к объектам недвижимости муниципальными образовательными организациями, реализующими основные общеобразовательные программы"</t>
  </si>
  <si>
    <t>Участие физических и юридических лиц в благоустройстве территории города</t>
  </si>
  <si>
    <t>Мероприятие  "Обеспечение пожарной безопасности территории города"</t>
  </si>
  <si>
    <t>Обеспечение пожарной безопасности</t>
  </si>
  <si>
    <t>Мероприятие  "Проведение капитального ремонта и ремонта объектов недвижимого имущества и (или) особо ценного движимого имущества муниципальными учреждениями культурно-досугового типа"</t>
  </si>
  <si>
    <t>Подпрограмма "Формирование благоприятных условий для развития города»</t>
  </si>
  <si>
    <t>Мероприятие "Содействие развитию малого и среднего предпринимательства"</t>
  </si>
  <si>
    <t>Организация и проведение конкурса "Лучшее новогоднее оформление объектов потребительского рынка"</t>
  </si>
  <si>
    <t>Мероприятие "Приобретение основных средств, не относящихся к объектам недвижимости, органами местного самоуправления"</t>
  </si>
  <si>
    <t>Приобретение органами местного самоуправления оборудования и других основных средств</t>
  </si>
  <si>
    <t>2110111390</t>
  </si>
  <si>
    <t>Единовременная выплата к началу учебного года работникам муниципальных образовательных организаций за счет субсидии из областного бюджета</t>
  </si>
  <si>
    <t>21101S1390</t>
  </si>
  <si>
    <t>Единовременная выплата к началу учебного года работникам муниципальных образовательных организаций на условиях софинансирования</t>
  </si>
  <si>
    <t>2120111390</t>
  </si>
  <si>
    <t>21201S1390</t>
  </si>
  <si>
    <t>Единовременная выплата к началу учебного года работникам муниципальных образовательных организаций дополнительного образования в области физической культуры и спорта за счет субсидии из областного бюджета</t>
  </si>
  <si>
    <t>22501S1430</t>
  </si>
  <si>
    <t>Единовременная выплата к началу учебного года работникам муниципальных образовательных организаций дополнительного образования в области физической культуры и спорта на условиях софинансирования</t>
  </si>
  <si>
    <t>Расходы на поощрение за достижение показателей деятельности органов исполнительной власти Тверской области (на поощрение муниципальных управленческих команд)</t>
  </si>
  <si>
    <t xml:space="preserve">муниципального образования город Торжок за 2023 год </t>
  </si>
  <si>
    <t>Утверждено решением о бюджете</t>
  </si>
  <si>
    <t>Кассовое исполнение</t>
  </si>
  <si>
    <t xml:space="preserve">  от     .   .2024  №   </t>
  </si>
  <si>
    <t xml:space="preserve">Распределение бюджетных ассигнований  бюджета 		
муниципального образования город Торжок  по разделам и подразделам классификации		
расходов бюджетов за 2023 год </t>
  </si>
  <si>
    <t xml:space="preserve">Ведомственная структура расходов бюджета муниципального образования  город Торжок  за 2023 год </t>
  </si>
  <si>
    <t xml:space="preserve">Распределение бюджетных ассигнований бюджета муниципального образования город Торжок 
по разделам, подразделам, целевым статьям (муниципальным программам и непрограммным направлениям деятельности), группам и подгруппам видов расходов классификации расходов бюджетов за 2023 год </t>
  </si>
  <si>
    <r>
      <t xml:space="preserve">Распределение бюджетных ассигнований </t>
    </r>
    <r>
      <rPr>
        <b/>
        <sz val="12"/>
        <color rgb="FFFF0000"/>
        <rFont val="Times New Roman"/>
        <family val="1"/>
        <charset val="204"/>
      </rPr>
      <t xml:space="preserve"> </t>
    </r>
    <r>
      <rPr>
        <b/>
        <sz val="12"/>
        <color rgb="FF000000"/>
        <rFont val="Times New Roman"/>
        <family val="1"/>
        <charset val="204"/>
      </rPr>
      <t xml:space="preserve">по целевым статьям (муниципальным программам и непрограммным направлениям деятельности),  группам и подгруппам видов расходов классификации расходов бюджетов  за 2023 год </t>
    </r>
  </si>
  <si>
    <t>Приложение  2</t>
  </si>
  <si>
    <t>к решению Торжокской городской Думы</t>
  </si>
  <si>
    <t>Источники  финансирования  дефицита  бюджета муниципального образования город Торжок</t>
  </si>
  <si>
    <t xml:space="preserve">тыс. руб. </t>
  </si>
  <si>
    <t>Код бюджетной классификации</t>
  </si>
  <si>
    <t>администратора источника финансирования</t>
  </si>
  <si>
    <t>источника финансирования</t>
  </si>
  <si>
    <t>Итого источники финансирования дефицита бюджета</t>
  </si>
  <si>
    <t xml:space="preserve">от     .    .2024  № </t>
  </si>
  <si>
    <t xml:space="preserve">по кодам классификации источников финансирования дефицитов бюджетов  за 2023 год </t>
  </si>
  <si>
    <t xml:space="preserve">Приложение 5
к решению Торжокской городской Думы
от     .    .2024  № </t>
  </si>
  <si>
    <t xml:space="preserve">Приложение 6 
к решению Торжокской городской Думы
от     .   .2024 № </t>
  </si>
  <si>
    <t xml:space="preserve">Приложение  7
к решению Торжокской городской Думы
от      .    .2024 №  </t>
  </si>
  <si>
    <t xml:space="preserve">Приложение 8
к решению Торжокской городской Думы
от      .   .2024 № </t>
  </si>
  <si>
    <t>Наименование публичного нормативного обязательства</t>
  </si>
  <si>
    <t>Реквизиты нормативного правового акта</t>
  </si>
  <si>
    <t>Код расходов по БК</t>
  </si>
  <si>
    <t>вид</t>
  </si>
  <si>
    <t>дата</t>
  </si>
  <si>
    <t>номер</t>
  </si>
  <si>
    <t>наименование</t>
  </si>
  <si>
    <t>ЦСР</t>
  </si>
  <si>
    <t>Решение</t>
  </si>
  <si>
    <t>Об утверждении Положения об именных стипендиях Главы города Торжка</t>
  </si>
  <si>
    <t>О Положении о порядке назначения и выплаты пенсии за выслугу лет к страховой пенсии по старости (инвалидности) лицам, замещавшим должности муниципальной службы муниципального образования город Торжок</t>
  </si>
  <si>
    <t>Об утверждении Положения о звании "Почетный гражданин города Торжка"</t>
  </si>
  <si>
    <t>Итого:</t>
  </si>
  <si>
    <t xml:space="preserve">Приложение 9
к решению Торжокской городской
Думы  от      .    .2024  №  </t>
  </si>
  <si>
    <t xml:space="preserve">Общий объем бюджетных ассигнований, направляемых  на исполнение публичных нормативных обязательств муниципального образования город Торжок за 2023 год </t>
  </si>
  <si>
    <t xml:space="preserve">Адресная инвестиционная программа </t>
  </si>
  <si>
    <t>№ п/п</t>
  </si>
  <si>
    <t xml:space="preserve">Наименование </t>
  </si>
  <si>
    <t xml:space="preserve">Бюджетополучатель    </t>
  </si>
  <si>
    <t>Лимит местного бюджета (тыс. руб.)</t>
  </si>
  <si>
    <t xml:space="preserve">Раздел и подраздел бюджетной классификации расходов </t>
  </si>
  <si>
    <t xml:space="preserve">средства местного бюджета </t>
  </si>
  <si>
    <t xml:space="preserve">средства областного бюджета Тверской области </t>
  </si>
  <si>
    <t>средства федерального бюджета</t>
  </si>
  <si>
    <t>всего</t>
  </si>
  <si>
    <t>х</t>
  </si>
  <si>
    <t>1.1.</t>
  </si>
  <si>
    <t>1.1.1.</t>
  </si>
  <si>
    <t>Строительство блочно-модульной котельной  для микрорайона «Пожтехника» (тех.присоединение, ПИР и СМР ЛЭП, СМР котельной )</t>
  </si>
  <si>
    <t>1.1.2.</t>
  </si>
  <si>
    <t>Строительство блочно-модульной котельной на ул. Энергетиков (тех.присоединение и СМР)</t>
  </si>
  <si>
    <t xml:space="preserve">1.2. </t>
  </si>
  <si>
    <t>1.2.1.</t>
  </si>
  <si>
    <t>Устройство линий уличного освещения: 
-3-й переулок Чехова (от дома № 24 до дома № 28);
- пешеходная зона вдоль забора ГБП ОУ "Торжокский педагогический колледж им.Ф.В. Бадюлина" (от ул.Металлистов до Ленинградского шоссе);
- пер. Железнодорожный  (от дома № 7 до дома № 9; от дома № 106 по ул. Пролетарская до дома № 2 по пер.Железнодорожному); 
- ул.Огородная (от дома № 6 до дома № 10);
- 3-й переулок Совхозный  (от дома 10 до дома 16, на пересечении с ул.Ржевская, в тупике переулка);
-ул. Старицкая (остановка общественного транспорта) в районе дома № 96а;
- на детском игровом комплексе по 2-му Ржевскому переулку;
- на детском игровом комплексе по Поклонницкому проезду.
Устройство линий электропередач от ул. Володарского до мемориала Неизвестному солдату на кладбище Иоанна Богослова с целью установки системы видеонаблюдения.</t>
  </si>
  <si>
    <t xml:space="preserve">2. </t>
  </si>
  <si>
    <t>2.1.</t>
  </si>
  <si>
    <t>2.1.1.</t>
  </si>
  <si>
    <t>Приобретение в муниципальную собственность жилых помещений</t>
  </si>
  <si>
    <t>2.1.1.1.</t>
  </si>
  <si>
    <t xml:space="preserve">детям-сиротам, детям, оставшимся без попечения родителей, лицам из их числа по договорам найма специализированных жилых помещений  </t>
  </si>
  <si>
    <t>2.1.1.2.</t>
  </si>
  <si>
    <t>малоимущим многодетным семьям, нуждающимся в жилых помещениях</t>
  </si>
  <si>
    <t>Приложение 10
к решению Торжокской городской Думы
от     .   .2024  №</t>
  </si>
  <si>
    <t>муниципального образования город Торжок за 2023 год</t>
  </si>
  <si>
    <t>Мероприятие "Реализация регионального проекта "Патриотическое воспитание граждан Российской Федерации" национального проекта "Образование"</t>
  </si>
  <si>
    <t>Приложение 3</t>
  </si>
  <si>
    <t>к   решению Торжокской городской Думы</t>
  </si>
  <si>
    <t xml:space="preserve">Поступление доходов бюджета муниципального образования город Торжок по группам, подгруппам, 
статьям, подстатьям и элементам доходов классификации доходов 
бюджетов  Российской Федерации за 2023 год </t>
  </si>
  <si>
    <t>Код классификации Российской Федерации</t>
  </si>
  <si>
    <t>Наименование дохода</t>
  </si>
  <si>
    <t>000 1 00 00000 00 0000 000</t>
  </si>
  <si>
    <t>НАЛОГОВЫЕ И НЕНАЛОГОВЫЕ ДОХОДЫ</t>
  </si>
  <si>
    <t>000 1 01 00000 00 0000 000</t>
  </si>
  <si>
    <t>НАЛОГИ НА ПРИБЫЛЬ, ДОХОДЫ</t>
  </si>
  <si>
    <t>000 1 01 02000 01 0000 110</t>
  </si>
  <si>
    <t>Налог на доходы физических лиц</t>
  </si>
  <si>
    <t>000 1 01 02010 01 0000 110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</si>
  <si>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</t>
  </si>
  <si>
    <t>000 1 01 02020 01 0000 110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</si>
  <si>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</si>
  <si>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000 1 01 02030 01 0000 110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</si>
  <si>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</si>
  <si>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000 1 01 02080 01 0000 110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</si>
  <si>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</t>
  </si>
  <si>
    <t>000 1 01 02130 01 0000 110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</si>
  <si>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</t>
  </si>
  <si>
    <t>000 1 01 02140 01 0000 110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</si>
  <si>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</t>
  </si>
  <si>
    <t>000 1 03 00000 00 0000 000</t>
  </si>
  <si>
    <t>НАЛОГИ НА ТОВАРЫ (РАБОТЫ, УСЛУГИ), РЕАЛИЗУЕМЫЕ НА ТЕРРИТОРИИ РОССИЙСКОЙ ФЕДЕРАЦИИ</t>
  </si>
  <si>
    <t>000 1 03 02000 01 0000 110</t>
  </si>
  <si>
    <t>Акцизы по подакцизным товарам (продукции), производимым на территории Российской Федерации</t>
  </si>
  <si>
    <t>000 1 03 02230 01 0000 110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</si>
  <si>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</si>
  <si>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000 1 03 02231 01 0000 110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</si>
  <si>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</si>
  <si>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000 1 03 02240 01 0000 110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</si>
  <si>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</si>
  <si>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000 1 03 02241 01 0000 110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</si>
  <si>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</si>
  <si>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000 1 03 02250 01 0000 110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</si>
  <si>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</si>
  <si>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000 1 03 02251 01 0000 110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</si>
  <si>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</si>
  <si>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000 1 03 02260 01 0000 110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</si>
  <si>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</si>
  <si>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000 1 03 02261 01 0000 110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</si>
  <si>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(по нормативам, установленным федеральным законом о федеральном бюджете в целях формирования дорожных фондов субъектов Российской Федерации)</t>
  </si>
  <si>
    <t>000 1 05 00000 00 0000 000</t>
  </si>
  <si>
    <t>НАЛОГИ НА СОВОКУПНЫЙ ДОХОД</t>
  </si>
  <si>
    <t>000 1 05 01000 00 0000 110</t>
  </si>
  <si>
    <t>Налог, взимаемый в связи с применением упрощенной системы налогообложения</t>
  </si>
  <si>
    <t>000 1 05 01010 01 0000 110</t>
  </si>
  <si>
    <t>Налог, взимаемый с налогоплательщиков, выбравших в качестве объекта налогообложения доходы</t>
  </si>
  <si>
    <t>000 1 05 01011 01 0000 110</t>
  </si>
  <si>
    <t>000 1 05 01020 01 0000 110</t>
  </si>
  <si>
    <t>Налог, взимаемый с налогоплательщиков, выбравших в качестве объекта налогообложения доходы, уменьшенные на величину расходов</t>
  </si>
  <si>
    <t>000 1 05 01021 01 0000 110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</si>
  <si>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Федерации)</t>
  </si>
  <si>
    <t>000 1 05 02000 02 0000 110</t>
  </si>
  <si>
    <t>Единый налог на вмененный доход для отдельных видов деятельности</t>
  </si>
  <si>
    <t>000 1 05 02010 02 0000 110</t>
  </si>
  <si>
    <t>000 1 05 04000 02 0000 110</t>
  </si>
  <si>
    <t>Налог, взимаемый в связи с применением патентной системы налогообложения</t>
  </si>
  <si>
    <t>000 1 05 04010 02 0000 110</t>
  </si>
  <si>
    <t>Налог, взимаемый в связи с применением патентной системы налогообложения, зачисляемый в бюджеты городских округов</t>
  </si>
  <si>
    <t>000 1 06 00000 00 0000 000</t>
  </si>
  <si>
    <t>НАЛОГИ НА ИМУЩЕСТВО</t>
  </si>
  <si>
    <t>000 1 06 01000 00 0000 110</t>
  </si>
  <si>
    <t>Налог на имущество физических лиц</t>
  </si>
  <si>
    <t>000 1 06 01020 04 0000 110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</si>
  <si>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</t>
  </si>
  <si>
    <t>000 1 06 06000 00 0000 110</t>
  </si>
  <si>
    <t>Земельный налог</t>
  </si>
  <si>
    <t>000 1 06 06030 00 0000 110</t>
  </si>
  <si>
    <t>Земельный налог с организаций</t>
  </si>
  <si>
    <t>000 1 06 06032 04 0000 110</t>
  </si>
  <si>
    <t>Земельный налог с организаций, обладающих земельным участком, расположенным в границах городских округов</t>
  </si>
  <si>
    <t>000 1 06 06040 00 0000 110</t>
  </si>
  <si>
    <t>Земельный налог с физических лиц</t>
  </si>
  <si>
    <t>000 1 06 06042 04 0000 110</t>
  </si>
  <si>
    <t>Земельный налог с физических лиц, обладающих земельным участком, расположенным в границах городских округов</t>
  </si>
  <si>
    <t>000 1 08 00000 00 0000 000</t>
  </si>
  <si>
    <t>ГОСУДАРСТВЕННАЯ ПОШЛИНА</t>
  </si>
  <si>
    <t>000 1 08 03000 01 0000 110</t>
  </si>
  <si>
    <t>Государственная пошлина по делам, рассматриваемым в судах общей юрисдикции, мировыми судьями</t>
  </si>
  <si>
    <t>000 1 08 03010 01 0000 110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</si>
  <si>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</t>
  </si>
  <si>
    <t>000 1 11 00000 00 0000 000</t>
  </si>
  <si>
    <t>ДОХОДЫ ОТ ИСПОЛЬЗОВАНИЯ ИМУЩЕСТВА, НАХОДЯЩЕГОСЯ В ГОСУДАРСТВЕННОЙ И МУНИЦИПАЛЬНОЙ СОБСТВЕННОСТИ</t>
  </si>
  <si>
    <t>000 1 11 05000 00 0000 120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</si>
  <si>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</si>
  <si>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000 1 11 05010 00 0000 120</t>
  </si>
  <si>
    <t>Доходы, получаемые в виде арендной платы за земельные участки, государственная собственность на которые не разграничена, а также средства от продажи права на заключение договоров аренды указанных земельных участков</t>
  </si>
  <si>
    <t>000 1 11 05012 04 0000 120</t>
  </si>
  <si>
    <t>Доходы, получаемые в виде арендной платы за земельные участки, государственная собственность на которые не разграничена и которые расположены в границах городских округов, а также средства от продажи права на заключение договоров аренды указанных земельных участков</t>
  </si>
  <si>
    <t>000 1 11 05020 00 0000 120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</si>
  <si>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</si>
  <si>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000 1 11 05024 04 0000 120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</si>
  <si>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городских округов (за исключением земельных участков муниципальных бюджетных и автономных учреждений)</t>
  </si>
  <si>
    <t>000 1 11 05070 00 0000 120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</si>
  <si>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</si>
  <si>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000 1 11 05074 04 0000 120</t>
  </si>
  <si>
    <t>Доходы от сдачи в аренду имущества, составляющего казну городских округов (за исключением земельных участков)</t>
  </si>
  <si>
    <t>000 1 11 07000 00 0000 120</t>
  </si>
  <si>
    <t>Платежи от государственных и муниципальных унитарных предприятий</t>
  </si>
  <si>
    <t>000 1 11 07010 00 0000 120</t>
  </si>
  <si>
    <t>Доходы от перечисления части прибыли государственных и муниципальных унитарных предприятий, остающейся после уплаты налогов и обязательных платежей</t>
  </si>
  <si>
    <t>000 1 11 07014 04 0000 120</t>
  </si>
  <si>
    <t>Доходы от перечисления части прибыли, остающейся после уплаты налогов и иных обязательных платежей муниципальных унитарных предприятий, созданных городскими округами</t>
  </si>
  <si>
    <t>000 1 11 09000 00 0000 120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</si>
  <si>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</si>
  <si>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000 1 11 09040 00 0000 120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</si>
  <si>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</si>
  <si>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000 1 11 09044 04 0000 120</t>
  </si>
  <si>
    <t>Прочие поступления от использования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</si>
  <si>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000 1 11 09080 00 0000 120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</si>
  <si>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государственной или муниципальной собственности, и на землях или земельных участках, государственная собственность на которые не разграничена</t>
  </si>
  <si>
    <t>000 1 11 09080 04 0000 120</t>
  </si>
  <si>
    <t>Плата, поступившая в рамках договора за предоставление права на размещение и эксплуатацию нестационарного торгового объекта, установку и эксплуатацию рекламных конструкций на землях или земельных участках, находящихся в собственности городских округов, и на землях или земельных участках, государственная собственность на которые не разграничена</t>
  </si>
  <si>
    <t>000 1 12 00000 00 0000 000</t>
  </si>
  <si>
    <t>ПЛАТЕЖИ ПРИ ПОЛЬЗОВАНИИ ПРИРОДНЫМИ РЕСУРСАМИ</t>
  </si>
  <si>
    <t>000 1 12 01000 01 0000 120</t>
  </si>
  <si>
    <t>Плата за негативное воздействие на окружающую среду</t>
  </si>
  <si>
    <t>000 1 12 01010 01 0000 120</t>
  </si>
  <si>
    <t>Плата за выбросы загрязняющих веществ в атмосферный воздух стационарными объектами</t>
  </si>
  <si>
    <t>000 1 12 01030 01 0000 120</t>
  </si>
  <si>
    <t>Плата за сбросы загрязняющих веществ в водные объекты</t>
  </si>
  <si>
    <t>000 1 12 01040 01 0000 120</t>
  </si>
  <si>
    <t>Плата за размещение отходов производства и потребления</t>
  </si>
  <si>
    <t>000 1 12 01041 01 0000 120</t>
  </si>
  <si>
    <t>Плата за размещение отходов производства</t>
  </si>
  <si>
    <t>000 1 13 00000 00 0000 000</t>
  </si>
  <si>
    <t>ДОХОДЫ ОТ ОКАЗАНИЯ ПЛАТНЫХ УСЛУГ И КОМПЕНСАЦИИ ЗАТРАТ ГОСУДАРСТВА</t>
  </si>
  <si>
    <t>000 1 13 02000 00 0000 130</t>
  </si>
  <si>
    <t>Доходы от компенсации затрат государства</t>
  </si>
  <si>
    <t>000 1 13 02990 00 0000 130</t>
  </si>
  <si>
    <t>Прочие доходы от компенсации затрат государства</t>
  </si>
  <si>
    <t>000 1 13 02994 04 0000 130</t>
  </si>
  <si>
    <t>Прочие доходы от компенсации затрат бюджетов городских округов</t>
  </si>
  <si>
    <t>000 1 14 00000 00 0000 000</t>
  </si>
  <si>
    <t>ДОХОДЫ ОТ ПРОДАЖИ МАТЕРИАЛЬНЫХ И НЕМАТЕРИАЛЬНЫХ АКТИВОВ</t>
  </si>
  <si>
    <t>000 1 14 01000 00 0000 410</t>
  </si>
  <si>
    <t>Доходы от продажи квартир</t>
  </si>
  <si>
    <t>000 1 14 01040 04 0000 410</t>
  </si>
  <si>
    <t>Доходы от продажи квартир, находящихся в собственности городских округов</t>
  </si>
  <si>
    <t>000 1 14 02000 00 0000 000</t>
  </si>
  <si>
    <t>Доходы от реализации имущества, находящегося в государственной и муниципальной собственности (за исключением движимого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</si>
  <si>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000 1 14 02040 04 0000 440</t>
  </si>
  <si>
    <t>Доходы от реализации имущества, находящегося в собственности городских округов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казенных), в части реализации материальных запасов по указанному имуществу</t>
  </si>
  <si>
    <t>000 1 14 02042 04 0000 440</t>
  </si>
  <si>
    <t>Доходы от реализации имущества, находящегося в оперативном управлении учреждений, находящихся в ведении органов управления городских округов (за исключением имущества муниципальных бюджетных и автономных учреждений), в части реализации материальных запасов по указанному имуществу</t>
  </si>
  <si>
    <t>000 1 14 06000 00 0000 430</t>
  </si>
  <si>
    <t xml:space="preserve">Доходы от продажи земельных участков, находящихся в государственной и муниципальной собственности </t>
  </si>
  <si>
    <t>000 1 14 06010 00 0000 430</t>
  </si>
  <si>
    <t>Доходы от продажи земельных участков, государственная собственность на которые не разграничена</t>
  </si>
  <si>
    <t>000 1 14  06012 04 0000 430</t>
  </si>
  <si>
    <t>Доходы от продажи земельных участков, государственная собственность на которые не разграничена и которые расположены в границах городских округов</t>
  </si>
  <si>
    <t>000 1 14 06020 00 0000 430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</si>
  <si>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</si>
  <si>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000 1 14 06024 04 0000 430</t>
  </si>
  <si>
    <t>Доходы от продажи земельных участков, находящихся в собственности городских округов (за исключением земельных участков муниципальных бюджетных и автономных учреждений)</t>
  </si>
  <si>
    <t>000 1 14 13000 00 0000 000</t>
  </si>
  <si>
    <t>Доходы от приватизации имущества, находящегося в государственной и муниципальной собственности</t>
  </si>
  <si>
    <t>000 1 14 13040 04 0000 410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</si>
  <si>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</t>
  </si>
  <si>
    <t>000 1 16 00000 00 0000 000</t>
  </si>
  <si>
    <t>ШТРАФЫ, САНКЦИИ, ВОЗМЕЩЕНИЕ УЩЕРБА</t>
  </si>
  <si>
    <t>000 1 16 01000 01 0000 140</t>
  </si>
  <si>
    <t>Административные штрафы, установленные Кодексом Российской Федерации об административных правонарушениях</t>
  </si>
  <si>
    <t>000 1 16 01050 01 0000 140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</si>
  <si>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</t>
  </si>
  <si>
    <t>000 1 16 01053 01 0000 140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</si>
  <si>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</si>
  <si>
    <t>000 1 16 01060 01 0000 140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</si>
  <si>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</t>
  </si>
  <si>
    <t>000 1 16 01063 01 0000 140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</si>
  <si>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</t>
  </si>
  <si>
    <t>000 1 16 01070 01 0000 140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</si>
  <si>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</t>
  </si>
  <si>
    <t>000 1 16 01073 01 0000 140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</si>
  <si>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</t>
  </si>
  <si>
    <t>000 1 16 01074 01 0000 140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</si>
  <si>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выявленные должностными лицами органов муниципального контроля</t>
  </si>
  <si>
    <t>000 1 16 01080 01 0000 140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</si>
  <si>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</t>
  </si>
  <si>
    <t>000 1 16 01083 01 0000 140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</si>
  <si>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</t>
  </si>
  <si>
    <t>000 1 16 01090 01 0000 140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</si>
  <si>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</t>
  </si>
  <si>
    <t>000 1 16 01093 01 0000 140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</si>
  <si>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</t>
  </si>
  <si>
    <t>000 1 16 01100 01 0000 140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</si>
  <si>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</t>
  </si>
  <si>
    <t>000 1 16 01103 01 0000 140</t>
  </si>
  <si>
    <t>Административные штрафы, установленные главой 10 Кодекса Российской Федерации об административных правонарушениях, за административные правонарушения в сельском хозяйстве, ветеринарии и мелиорации земель, налагаемые мировыми судьями, комиссиями по делам несовершеннолетних и защите их прав</t>
  </si>
  <si>
    <t>000 1 16 01130 01 0000 140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</si>
  <si>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</t>
  </si>
  <si>
    <t>000 1 16 01133 01 0000 140</t>
  </si>
  <si>
    <t>Административные штрафы, установленные главой 13 Кодекса Российской Федерации об административных правонарушениях, за административные правонарушения в области связи и информации, налагаемые мировыми судьями, комиссиями по делам несовершеннолетних и защите их прав</t>
  </si>
  <si>
    <t>000 1 16 01140 01 0000 140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</si>
  <si>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</t>
  </si>
  <si>
    <t>000 1 16 01143 01 0000 140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</si>
  <si>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</t>
  </si>
  <si>
    <t>000 1 16 01150 01 0000 140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</si>
  <si>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</t>
  </si>
  <si>
    <t>000 1 16 01153 01 0000 140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</si>
  <si>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</t>
  </si>
  <si>
    <t>000 1 16 01170 01 0000 140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</si>
  <si>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</t>
  </si>
  <si>
    <t>000 1 16 01173 01 0000 140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</si>
  <si>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</t>
  </si>
  <si>
    <t>000 1 16 01190 01 0000 140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</si>
  <si>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</t>
  </si>
  <si>
    <t>000 1 16 01193 01 0000 140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</si>
  <si>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</t>
  </si>
  <si>
    <t>000 1 16 01200 01 0000 140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</si>
  <si>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</t>
  </si>
  <si>
    <t>000 1 16 01203 01 0000 140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</si>
  <si>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</t>
  </si>
  <si>
    <t>000 1 16 02000 02 0000 140</t>
  </si>
  <si>
    <t>Административные штрафы, установленные законами субъектов Российской Федерации об административных правонарушениях</t>
  </si>
  <si>
    <t>000 1 16 02020 02 0000 140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</si>
  <si>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</si>
  <si>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000 1 16 07000 00 0000 140</t>
  </si>
  <si>
    <t>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органом управления государственным внебюджетным фондом, казенным учреждением, Центральным банком Российской Федерации, иной организацией, действующей от имени Российской Федерации</t>
  </si>
  <si>
    <t>000 1 16 07010 00 0000 140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</si>
  <si>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государственным (муниципальным) контрактом</t>
  </si>
  <si>
    <t>000 1 16 07010 04 0000 140</t>
  </si>
  <si>
    <t>Штрафы, неустойки, пени, уплаченные в случае просрочки исполнения поставщиком (подрядчиком, исполнителем) обязательств, предусмотренных муниципальным контрактом, заключенным муниципальным органом, казенным учреждением городского округа</t>
  </si>
  <si>
    <t>000 1 16 07090 00 0000 140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</si>
  <si>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государственным (муниципальным) органом, казенным учреждением, Центральным банком Российской Федерации, государственной корпорацией</t>
  </si>
  <si>
    <t>000 1 16 07090 04 0000 140</t>
  </si>
  <si>
    <t>Иные штрафы, неустойки, пени, уплаченные в соответствии с законом или договором в случае неисполнения или ненадлежащего исполнения обязательств перед муниципальным органом, (муниципальным казенным учреждением) городского округа</t>
  </si>
  <si>
    <t>000 1 16 10000 00 0000 140</t>
  </si>
  <si>
    <t>Платежи в целях возмещения причиненного ущерба (убытков)</t>
  </si>
  <si>
    <t>000 1 16 10120 00 0000 140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</si>
  <si>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бюджеты бюджетной системы Российской Федерации по нормативам, действовавшим в 2019 году</t>
  </si>
  <si>
    <t>000 1 16 10123 01 0000 140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</si>
  <si>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</t>
  </si>
  <si>
    <t>000 1 16 10129 01 0000 140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</si>
  <si>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федеральный бюджет и бюджет муниципального образования по нормативам, действовавшим в 2019 году</t>
  </si>
  <si>
    <t>000 1 16 11000 01 0000 140</t>
  </si>
  <si>
    <t>Платежи, уплачиваемые в целях возмещения вреда</t>
  </si>
  <si>
    <t>000 1 16 11060 01 0000 140</t>
  </si>
  <si>
    <t>Платежи, уплачиваемые в целях возмещения вреда, причиняемого автомобильным дорогам</t>
  </si>
  <si>
    <t>000 1 16 11064 01 0000 140</t>
  </si>
  <si>
    <t>Платежи, уплачиваемые в целях возмещения вреда, причиняемого автомобильным дорогам местного значения транспортными средствами, осуществляющими перевозки тяжеловесных и (или) крупногабаритных грузов</t>
  </si>
  <si>
    <t>000 1 17 00000 00 0000 000</t>
  </si>
  <si>
    <t>ПРОЧИЕ НЕНАЛОГОВЫЕ ДОХОДЫ</t>
  </si>
  <si>
    <t>000 1 17 01000 00 0000 180</t>
  </si>
  <si>
    <t>Невыясненные поступления</t>
  </si>
  <si>
    <t>000 1 17 01040 04 0000 180</t>
  </si>
  <si>
    <t>Невыясненные поступления, зачисляемые в бюджеты городских округов</t>
  </si>
  <si>
    <t>000 1 17 15000 00 0000 150</t>
  </si>
  <si>
    <t>Инициативные платежи</t>
  </si>
  <si>
    <t>000 1 17 15020 04 0000 150</t>
  </si>
  <si>
    <t>Инициативные платежи на реализацию программ по поддержке местных инициатив в Тверской области на территории городских округов Тверской области (Установка детской площадки, расположенной по адресу: Тверская область, г. Торжок, Ленинградское шоссе, д. 20)</t>
  </si>
  <si>
    <t>Инициативные платежи на реализацию программ по поддержке местных инициатив в Тверской области на территории городских округов Тверской области (Реализация проекта «Приобретение детского игрового и спортивного оборудования для обустройства детской площадки по адресу Поклонницкий проезд д. 9 г. Торжок»)</t>
  </si>
  <si>
    <t>000 2 00 00000 00 0000 000</t>
  </si>
  <si>
    <t>БЕЗВОЗМЕЗДНЫЕ ПОСТУПЛЕНИЯ</t>
  </si>
  <si>
    <t>000 2 02 00000 00 0000 000</t>
  </si>
  <si>
    <t>БЕЗВОЗМЕЗДНЫЕ ПОСТУПЛЕНИЯ ОТ ДРУГИХ БЮДЖЕТОВ БЮДЖЕТНОЙ СИСТЕМЫ РОССИЙСКОЙ ФЕДЕРАЦИИ</t>
  </si>
  <si>
    <t>000 2 02 10000 00 0000 150</t>
  </si>
  <si>
    <t>Дотации бюджетам бюджетной системы Российской Федерации</t>
  </si>
  <si>
    <t>000 2 02 15002 00 0000 150</t>
  </si>
  <si>
    <t>Дотации бюджетам на поддержку мер по обеспечению сбалансированности бюджетов</t>
  </si>
  <si>
    <t>000 2 02 15002 04 0000 150</t>
  </si>
  <si>
    <t>Дотации бюджетам городских округов на поддержку мер по обеспечению сбалансированности бюджетов</t>
  </si>
  <si>
    <t>000 2 02 16549 00 0000 150</t>
  </si>
  <si>
    <t>Дотации (гранты) бюджетам за достижение показателей деятельности органов местного самоуправления</t>
  </si>
  <si>
    <t>000 2 02 16549 04 0000 150</t>
  </si>
  <si>
    <t>Дотации (гранты) бюджетам городских округов за достижение показателей деятельности органов местного самоуправления</t>
  </si>
  <si>
    <t>000 2 02 20000 00 0000 150</t>
  </si>
  <si>
    <t>Субсидии бюджетам бюджетной системы Российской Федерации (межбюджетные субсидии)</t>
  </si>
  <si>
    <t>000 2 02 20077 00 0000 150</t>
  </si>
  <si>
    <t>Субсидии бюджетам на софинансирование капитальных вложений в объекты муниципальной собственности</t>
  </si>
  <si>
    <t>000 2 02 20077 04 0000 150</t>
  </si>
  <si>
    <t>Субсидии бюджетам городских округов на софинансирование капитальных вложений в объекты муниципальной собственности</t>
  </si>
  <si>
    <t>Субсидии бюджетам на модернизацию объектов теплоэнергетических комплексов муниципальных образований Тверской области</t>
  </si>
  <si>
    <t>000 2 02 20216 00 0000 150</t>
  </si>
  <si>
    <t>Субсидии бюджетам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</si>
  <si>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>000 2 02 20216 04 0000 150</t>
  </si>
  <si>
    <t>Субсидии на капитальный ремонт и ремонт улично-дорожной сети муниципальных образований Тверской области</t>
  </si>
  <si>
    <t>Субсидии на ремонт дворовых территорий многоквартирных домов, проездов к дворовым территориям многоквартирных домов населенных пунктов</t>
  </si>
  <si>
    <t>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</t>
  </si>
  <si>
    <t>000 2 02 25304 00 0000 150</t>
  </si>
  <si>
    <t>Субсидии бюджетам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</si>
  <si>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000 2 02 25304 04 0000 150</t>
  </si>
  <si>
    <t>Субсидии бюджетам городских округов на организацию бесплатного горячего питания обучающихся, получающих начальное общее образование в государственных и муниципальных образовательных организациях</t>
  </si>
  <si>
    <t>000 2 02 25467 00 0000 150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</si>
  <si>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</si>
  <si>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000 2 02 25467 04 0000 150</t>
  </si>
  <si>
    <t>Субсидии бюджетам городских округов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</si>
  <si>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000 2 02 25497 00 0000 150</t>
  </si>
  <si>
    <t>Субсидии бюджетам на реализацию мероприятий по обеспечению жильем молодых семей</t>
  </si>
  <si>
    <t>000 2 02 25497 04 0000 150</t>
  </si>
  <si>
    <t>Субсидии бюджетам городских округов на реализацию мероприятий по обеспечению жильем молодых семей</t>
  </si>
  <si>
    <t>000 2 02 25519 00 0000 150</t>
  </si>
  <si>
    <t>Субсидии бюджетам на поддержку отрасли культуры</t>
  </si>
  <si>
    <t>000 2 02 25519 04 0000 150</t>
  </si>
  <si>
    <t>Субсидии бюджетам городских округов на поддержку отрасли культуры</t>
  </si>
  <si>
    <t>000 2 02 25555 00 0000 150</t>
  </si>
  <si>
    <t>Субсидии бюджетам на реализацию программ формирования современной городской среды</t>
  </si>
  <si>
    <t>000 2 02 25555 04 0000 150</t>
  </si>
  <si>
    <t>Субсидии бюджетам городских округов на реализацию программ формирования современной городской среды</t>
  </si>
  <si>
    <t>000 2 02 29999 00 0000 150</t>
  </si>
  <si>
    <t>Прочие субсидии</t>
  </si>
  <si>
    <t xml:space="preserve">000 2 02 29999 04 0000 150
</t>
  </si>
  <si>
    <t>Субсидии бюджетам на организацию  участия детей и подростков в социально значимых региональных проектах</t>
  </si>
  <si>
    <t>Субсидии бюджетам на организацию отдыха детей в каникулярное время</t>
  </si>
  <si>
    <t>Субсидии бюджетам на  повышение заработной платы работникам муниципальных учреждений культуры Тверской области</t>
  </si>
  <si>
    <t>000 2 02 29999 04 0000 150</t>
  </si>
  <si>
    <t>Субсидии на поддержку редакций районных и городских газет</t>
  </si>
  <si>
    <t>Субсидии бюджетам на  повышение заработной платы педагогическим работникам муниципальных организаций дополнительного образования</t>
  </si>
  <si>
    <t>Субсидии на укрепление материально-технической базы муниципальных спортивных школ</t>
  </si>
  <si>
    <t>Субсидии на укрепление материально-технической базы муниципальных общеобразовательных организаций</t>
  </si>
  <si>
    <t>Субсидии бюджетам на укрепление материально-технической базы муниципальных дошкольных образовательных организаций</t>
  </si>
  <si>
    <t>Субсидии на реализацию программ по поддержке местных инициатив в Тверской области на территории городских округов Тверской области (Установка детской площадки, расположенной по адресу: Тверская область, г. Торжок, Ленинградское шоссе, д. 20)</t>
  </si>
  <si>
    <t>Субсидии на реализацию программ по поддержке местных инициатив в Тверской области на территории городских округов Тверской области (Приобретение детского игрового и спортивного оборудования для обустройства детской площадки по адресу Поклонницкий проезд, д. 9 г. Торжок)</t>
  </si>
  <si>
    <t>Субсидии на обеспечение жилыми помещениями малоимущих многодетных семей, нуждающихся в жилых помещениях</t>
  </si>
  <si>
    <t>Субсидии на осуществление единовременной выплаты к началу нового учебного года работникам муниципальных образовательных организаций</t>
  </si>
  <si>
    <t>Субсидии на осуществление единовременной выплаты к началу учебного года работникам муниципальных образовательных организаций дополнительного образования в области физической культуры и спорта</t>
  </si>
  <si>
    <t>000 2 02 30000 00 0000 150</t>
  </si>
  <si>
    <t>Субвенции бюджетам бюджетной системы Российской Федерации</t>
  </si>
  <si>
    <t>000 2 02 30029 00 0000 150</t>
  </si>
  <si>
    <t>Субвенции бюджетам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</si>
  <si>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000 2 02 30029 04 0000 150</t>
  </si>
  <si>
    <t>Субвенции бюджетам городских округов на компенсацию части платы, взимаемой с родителей (законных представителей) за присмотр и уход за детьми, посещающими образовательные организации, реализующие образовательные программы дошкольного образования</t>
  </si>
  <si>
    <t>000 2 02 35120 00 0000 150</t>
  </si>
  <si>
    <t>Субвенции бюджетам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</si>
  <si>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000 2 02 35120 04 0000 150</t>
  </si>
  <si>
    <t>Субвенции бюджетам городских округов на осуществление полномочий по составлению (изменению) списков кандидатов в присяжные заседатели федеральных судов общей юрисдикции в Российской Федерации</t>
  </si>
  <si>
    <t>000 2 02 35179 00 0000 150</t>
  </si>
  <si>
    <t>Субвенции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</si>
  <si>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000 2 02 35179 04 0000 150</t>
  </si>
  <si>
    <t>Субвенции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</t>
  </si>
  <si>
    <t>000 2 02 35303 00 0000 150</t>
  </si>
  <si>
    <t>Субвенции бюджетам муниципальных образований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</si>
  <si>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000 2 02 35303 04 0000 150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</si>
  <si>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</t>
  </si>
  <si>
    <t>000 2 02 35930 00 0000 150</t>
  </si>
  <si>
    <t>Субвенции бюджетам на государственную регистрацию актов гражданского состояния</t>
  </si>
  <si>
    <t>000 2 02 35930 04 0000 150</t>
  </si>
  <si>
    <t>Субвенции бюджетам городских округов на государственную регистрацию актов гражданского состояния</t>
  </si>
  <si>
    <t>000 2 02 39999 00 0000 150</t>
  </si>
  <si>
    <t>Прочие субвенции</t>
  </si>
  <si>
    <t>000 2 02 39999 04 0000 150</t>
  </si>
  <si>
    <t>Субвенции бюджетам на обеспечение государственных гарантий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</t>
  </si>
  <si>
    <t>Субвенции бюджетам на обеспечение государственных гарантий прав на получение общедоступного и бесплатного дошкольного образования в муниципальных дошкольных образовательных организациях</t>
  </si>
  <si>
    <t>Субвенции на осуществление  государственных полномочий по созданию, исполнению полномочий и обеспечению деятельности комиссий по делам несовершеннолетних</t>
  </si>
  <si>
    <t>Субвенции на осуществление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</t>
  </si>
  <si>
    <t>Субвенции бюджетам на предоставление жилых помещений детям-сиротам и детям, оставшимся без попечения родителей, лицам из их числа по договорам найма специализированных жилых помещений за счет средств областного бюджета Тверской области</t>
  </si>
  <si>
    <t>000 2 02 40000 00 0000 150</t>
  </si>
  <si>
    <t>Иные межбюджетные трансферты</t>
  </si>
  <si>
    <t>000 2 02 49999 00 0000 150</t>
  </si>
  <si>
    <t>Прочие межбюджетные трансферты, передаваемые бюджетам</t>
  </si>
  <si>
    <t>000 2 02 49999 04 0000 150</t>
  </si>
  <si>
    <t>Прочие межбюджетные трансферты, передаваемые бюджетам городских округов (Прочие межбюджетные трансферты на приобретение и установку детских игровых комплексов)</t>
  </si>
  <si>
    <t>Прочие межбюджетные трансферты на реализацию образовательных проектов в рамках поддержки школьных инициатив Тверской области (Реализация проекта "Организация школьного культурно-образовательного арт-пространства "МБОУ "СОШ № 1" города Торжка Тверской области")</t>
  </si>
  <si>
    <t>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</t>
  </si>
  <si>
    <t>000 2 18 00000 00 0000 150</t>
  </si>
  <si>
    <t>Доходы бюджетов бюджетной системы Российской Федерации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</si>
  <si>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000 2 18 00000 04 0000 150</t>
  </si>
  <si>
    <t>Доходы бюджетов городских округов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лет, а также от возврата организациями остатков субсидий прошлых лет</t>
  </si>
  <si>
    <t>000 2 18 04000 04 0000 150</t>
  </si>
  <si>
    <t>Доходы бюджетов городских округов от возврата организациями остатков субсидий прошлых лет</t>
  </si>
  <si>
    <t>000 2 18 04010 04 0000 150</t>
  </si>
  <si>
    <t>Доходы бюджетов городских округов от возврата бюджетными учреждениями остатков субсидий прошлых лет</t>
  </si>
  <si>
    <t>000 2 19 00000 00 0000 000</t>
  </si>
  <si>
    <t>ВОЗВРАТ ОСТАТКОВ СУБСИДИЙ, СУБВЕНЦИЙ И ИНЫХ МЕЖБЮДЖЕТНЫХ ТРАНСФЕРТОВ, ИМЕЮЩИХ ЦЕЛЕВОЕ НАЗНАЧЕНИЕ, ПРОШЛЫХ ЛЕТ</t>
  </si>
  <si>
    <t>000 2 19 00000 04 0000 150</t>
  </si>
  <si>
    <t>Возврат остатков субсидий, субвенций и иных межбюджетных трансфертов, имеющих целевое назначение, прошлых лет из бюджетов городских округов</t>
  </si>
  <si>
    <t>000 2 19 35303 04 0000 150</t>
  </si>
  <si>
    <t>Возврат остатков субвенций на ежемесячное денежное вознаграждение за классное руководство педагогическим работникам государственных и муниципальных общеобразовательных организаций из бюджетов городских округов</t>
  </si>
  <si>
    <t>000 2 19 60010 04 0000 150</t>
  </si>
  <si>
    <t>Возврат прочих остатков субсидий, субвенций и иных межбюджетных трансфертов, имеющих целевое назначение, прошлых лет из бюджетов городских округов</t>
  </si>
  <si>
    <t>ИТОГО ДОХОДОВ</t>
  </si>
  <si>
    <t xml:space="preserve">Приложение 4 </t>
  </si>
  <si>
    <t>Код администратора доходов</t>
  </si>
  <si>
    <t>Наименование кода классификации доходов</t>
  </si>
  <si>
    <t>Код классификации доходов</t>
  </si>
  <si>
    <t>Исполнено,  тыс.руб.</t>
  </si>
  <si>
    <t>0 0 1</t>
  </si>
  <si>
    <t xml:space="preserve"> </t>
  </si>
  <si>
    <t>001 1 11 09080 04 0000 120</t>
  </si>
  <si>
    <t>001 1 13 02994 04 0000 130</t>
  </si>
  <si>
    <t>001 1 16 02020 02 0000 140</t>
  </si>
  <si>
    <t>001 1 16 07010 04 0000 140</t>
  </si>
  <si>
    <t>001 1 16 07090 04 0000 140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</si>
  <si>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(за исключением доходов, направляемых на формирование муниципального дорожного фонда))</t>
  </si>
  <si>
    <t>001 1 16 10123 01 0041 140</t>
  </si>
  <si>
    <t>001 1 16 11064 01 0041 140</t>
  </si>
  <si>
    <t>Инициативные платежи, зачисляемые в бюджеты городских округов (Инициативные платежи на реализацию программ по поддержке местных инициатив в Тверской области на территории городских округов Тверской области (Установка детской площадки, расположенной по адресу: Тверская область, г. Торжок, Ленинградское шоссе, д. 20))</t>
  </si>
  <si>
    <t>001 1 17 15020 04 9020 150</t>
  </si>
  <si>
    <t>Инициативные платежи, зачисляемые в бюджеты городских округов (Инициативные платежи на реализацию программ по поддержке местных инициатив в Тверской области на территории городских округов Тверской области (Реализация проекта «Приобретение детского игрового и спортивного оборудования для обустройства детской площадки по адресу Поклонницкий проезд, д. 9, г. Торжок»))</t>
  </si>
  <si>
    <t>001 1 17 15020 04 9040 150</t>
  </si>
  <si>
    <t>001 2 18 04010 04 0000 150</t>
  </si>
  <si>
    <t>0 0 2</t>
  </si>
  <si>
    <t>002 2 02 15002 04 0000 150</t>
  </si>
  <si>
    <t>002 2 02 16549 04 0000 150</t>
  </si>
  <si>
    <t>Субсидии бюджетам городских округов на софинансирование капитальных вложений в объекты муниципальной собственности (Субсидии бюджетам на модернизацию объектов теплоэнергетических комплексов муниципальных образований Тверской области)</t>
  </si>
  <si>
    <t>002 2 02 20077 04 2131 150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</si>
  <si>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ремонт дворовых территорий многоквартирных домов, проездов к дворовым территориям многоквартирных домов населенных пункто)</t>
  </si>
  <si>
    <t>002 2 02 20216 04 2125 150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</si>
  <si>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на капитальный ремонт и ремонт улично-дорожной сети муниципальных образований Тверской области)</t>
  </si>
  <si>
    <t>002 2 02 20216 04 2224 150</t>
  </si>
  <si>
    <t>Субсидии бюджетам городских округов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 (Субсидии бюджетам на проведение мероприятий в целях обеспечения безопасности дорожного движения на автомобильных дорогах общего пользования местного значения)</t>
  </si>
  <si>
    <t>002 2 02 20216 04 2227 150</t>
  </si>
  <si>
    <t>002 2 02 25304 04 0000 150</t>
  </si>
  <si>
    <t>002 2 02 25467 04 0000 150</t>
  </si>
  <si>
    <t>002 2 02 25497 04 0000 150</t>
  </si>
  <si>
    <t>002 2 02 25519 04 0000 150</t>
  </si>
  <si>
    <t>002 2 02 25555 04 0000 150</t>
  </si>
  <si>
    <t>Прочие субсидии бюджетам городских округов (Субсидии на обеспечение жилыми помещениями малоимущих многодетных семей, нуждающихся в жилых помещениях)</t>
  </si>
  <si>
    <t>002 2 02 29999 04 2045 150</t>
  </si>
  <si>
    <t>Прочие субсидии бюджетам городских округов (Субсидии на поддержку редакций районных и городских газет)</t>
  </si>
  <si>
    <t>002 2 02 29999 04 2049 150</t>
  </si>
  <si>
    <t>Прочие субсидии бюджетам городских округов (Субсидии на организацию отдыха детей в каникулярное время)</t>
  </si>
  <si>
    <t>002 2 02 29999 04 2071 150</t>
  </si>
  <si>
    <t>Прочие субсидии бюджетам городских округов (Субсидии на укрепление материально-технической базы муниципальных спортивных школ)</t>
  </si>
  <si>
    <t>002 2 02 29999 04 2189 150</t>
  </si>
  <si>
    <t>Прочие субсидии бюджетам городских округов (Субсидии на укрепление материально-технической базы муниципальных общеобразовательных организаций)</t>
  </si>
  <si>
    <t>002 2 02 29999 04 2190 150</t>
  </si>
  <si>
    <t>Прочие субсидии бюджетам городских округов (Субсидии бюджетам на организацию участия детей и подростков в социально значимых региональных проектах)</t>
  </si>
  <si>
    <t>002 2 02 29999 04 2203 150</t>
  </si>
  <si>
    <t>Прочие субсидии бюджетам городских округов (Субсидии на повышение заработной платы педагогическим работникам муниципальных организаций дополнительного образования)</t>
  </si>
  <si>
    <t>002 2 02 29999 04 2207 150</t>
  </si>
  <si>
    <t>Прочие субсидии бюджетам городских округов (Субсидии на повышение заработной платы работникам муниципальных учреждений культуры Тверской области)</t>
  </si>
  <si>
    <t>002 2 02 29999 04 2208 150</t>
  </si>
  <si>
    <t>Прочие субсидии бюджетам городских округов (Субсидии бюджетам на укрепление материально-технической базы муниципальных дошкольных образовательных организаций)</t>
  </si>
  <si>
    <t>002 2 02 29999 04 2222 150</t>
  </si>
  <si>
    <t>Прочие субсидии бюджетам городских округов (Субсидии на осуществление единовременной выплаты к началу нового учебного года работникам муниципальных образовательных организаций)</t>
  </si>
  <si>
    <t>002 2 02 29999 04 2244 150</t>
  </si>
  <si>
    <t>Прочие субсидии бюджетам городских округов (Субсидии на осуществление единовременной выплаты к началу учебного года работникам муниципальных организаций дополнительного образования в области физической культуры и спорта)</t>
  </si>
  <si>
    <t>002 2 02 29999 04 2251 150</t>
  </si>
  <si>
    <t>Прочие субсидии бюджетам городских округов (Субсидии на реализацию программ по поддержке местных инициатив в Тверской области на территории городских округов Тверской области (Установка детской площадки, расположенной по адресу: Тверская область, г. Торжок, Ленинградское шоссе, д. 20))</t>
  </si>
  <si>
    <t>002 2 02 29999 04 9020 150</t>
  </si>
  <si>
    <t>Прочие субсидии бюджетам городских округов (Субсидии на реализацию программ по поддержке местных инициатив в Тверской области на территории городских округов Тверской области (Реализация проекта «Приобретение детского игрового и спортивного оборудования для обустройства детской площадки по адресу Поклонницкий проезд д. 9 г. Торжок»))</t>
  </si>
  <si>
    <t>002 2 02 29999 04 9040 150</t>
  </si>
  <si>
    <t>002 2 02 30029 04 0000 150</t>
  </si>
  <si>
    <t>002 2 02 35120 04 0000 150</t>
  </si>
  <si>
    <t>002 2 02 35179 04 0000 150</t>
  </si>
  <si>
    <t>Субвенции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организаций, реализующих образовательные программы начального общего образования, образовательные программы основного общего образования, образовательные программы среднего общего образования</t>
  </si>
  <si>
    <t>002 2 02 35303 04 0000 150</t>
  </si>
  <si>
    <t>002 2 02 35930 04 0000 150</t>
  </si>
  <si>
    <t>Прочие субвенции бюджетам городских округов (Субвенции на финансовое обеспечение реализации государственных полномочий по созданию, исполнению полномочий и обеспечению деятельности комиссий по делам несовершеннолетних)</t>
  </si>
  <si>
    <t>002 2 02 39999 04 2015 150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</si>
  <si>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дошкольного, начального общего, основного общего, среднего общего образования в муниципальных общеобразовательных организациях, обеспечение дополнительного образования детей в муниципальных общеобразовательных организациях)</t>
  </si>
  <si>
    <t>002 2 02 39999 04 2016 150</t>
  </si>
  <si>
    <t>Прочие субвенции бюджетам городских округов (Субвенции на финансовое обеспечение реализации государственных полномочий Тверской области по созданию административных комиссий и определению перечня должностных лиц, уполномоченных составлять протоколы об административных правонарушениях)</t>
  </si>
  <si>
    <t>002 2 02 39999 04 2114 150</t>
  </si>
  <si>
    <t>Прочие субвенции бюджетам городских округов (Субвенции на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организациях)</t>
  </si>
  <si>
    <t>002 2 02 39999 04 2153 150</t>
  </si>
  <si>
    <t>Прочие субвенции бюджетам городских округов (Субвенции на осуществление государственных полномочий по обеспечению благоустроенными жилыми помещениями специализированного жилищного фонда детей-сирот, детей, оставшихся без попечения родителей, лиц из их числа по договорам найма специализированных жилых помещений за счет средств областного бюджета Тверской области)</t>
  </si>
  <si>
    <t>002 2 02 39999 04 2217 150</t>
  </si>
  <si>
    <t>Прочие межбюджетные трансферты, передаваемые бюджетам городских округов (Прочие межбюджетные трансферты, передаваемые бюджетам на реализацию мероприятий по обращениям, поступающим к депутатам Законодательного Собрания Тверской области)</t>
  </si>
  <si>
    <t>002 2 02 49999 04 2164 150</t>
  </si>
  <si>
    <t>002 2 02 49999 04 2233 150</t>
  </si>
  <si>
    <t>Прочие межбюджетные трансферты, передаваемые бюджетам городских округов (Прочие межбюджетные трансферты на реализацию образовательных проектов в рамках поддержки школьных инициатив Тверской области (Реализация проекта «Организация школьного культурно-образовательного арт-пространства» МБОУ «СОШ № 1» города Торжка Тверской области))</t>
  </si>
  <si>
    <t>002 2 02 49999 04 8020 150</t>
  </si>
  <si>
    <t>002 2 19 35303 04 0000 150</t>
  </si>
  <si>
    <t>002 2 19 60010 04 0000 150</t>
  </si>
  <si>
    <t>0 0 5</t>
  </si>
  <si>
    <t>005 1 11 05012 04 0000 120</t>
  </si>
  <si>
    <t>005 1 11 05024 04 0000 120</t>
  </si>
  <si>
    <t>005 1 11 05074 04 0000 120</t>
  </si>
  <si>
    <t>005 1 11 07014 04 0000 120</t>
  </si>
  <si>
    <t>005 1 11 09044 04 0000 120</t>
  </si>
  <si>
    <t>005 1 14 01040 04 0000 410</t>
  </si>
  <si>
    <t>005 1 14 02042 04 0000 440</t>
  </si>
  <si>
    <t>005 1 14 06012 04 0000 430</t>
  </si>
  <si>
    <t>005 1 14 06024 04 0000 430</t>
  </si>
  <si>
    <t>005 1 14 13040 04 0010 410</t>
  </si>
  <si>
    <t>005 1 14 13040 04 0020 410</t>
  </si>
  <si>
    <t>Доходы от приватизации имущества, находящегося в собственности городских округов, в части приватизации нефинансовых активов имущества казны (Доходы от продажи земельных участков)</t>
  </si>
  <si>
    <t>005 1 14 13040 04 0030 410</t>
  </si>
  <si>
    <t>005 1 16 07090 04 0000 140</t>
  </si>
  <si>
    <t>005 1 16 10123 01 0041 140</t>
  </si>
  <si>
    <t>005 1 17 01040 04 0000 180</t>
  </si>
  <si>
    <t xml:space="preserve">0 4 8 </t>
  </si>
  <si>
    <t>Федеральная служба по надзору в сфере природопользования</t>
  </si>
  <si>
    <t>Плата за выбросы загрязняющих веществ в атмосферный воздух стационарными объектами (Плата за выбросы загрязняющих веществ в атмосферный воздух стационарными объектами (федеральные государственные органы, Банк России, органы управления государственными внебюджетными фондами Российской Федерации))</t>
  </si>
  <si>
    <t>048 1 12 01010 01 6000 120</t>
  </si>
  <si>
    <t>Плата за сбросы загрязняющих веществ в водные объекты (Плата за сбросы загрязняющих веществ вводные объекты (федеральные государственные органы, Банк России, органы управления государственными внебюджетными фондами Российской Федерации))</t>
  </si>
  <si>
    <t>048 1 12 01030 01 6000 120</t>
  </si>
  <si>
    <t>Плата за размещение отходов производства (Плата за размещение отходов производства (федеральные государственные органы, Банк России, органы управления государственными внебюджетными фондами Российской Федерации))</t>
  </si>
  <si>
    <t>048 1 12 01041 01 6000 120</t>
  </si>
  <si>
    <t>0 7 5</t>
  </si>
  <si>
    <t>Министерство образования Тверской области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</si>
  <si>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(штрафы за неисполнение родителями или иными законными представителями несовершеннолетних обязанностей по содержанию и воспитанию несовершеннолетних)</t>
  </si>
  <si>
    <t>075 1 16 01053 01 0035 140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</si>
  <si>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(иные штрафы)</t>
  </si>
  <si>
    <t>075 1 16 01063 01 9000 140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</si>
  <si>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мелкое хищение)</t>
  </si>
  <si>
    <t>075 1 16 01073 01 0027 140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</si>
  <si>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появление в общественных местах в состоянии опьянения)</t>
  </si>
  <si>
    <t>075 1 16 01203 01 0021 140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</si>
  <si>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(иные штрафы)</t>
  </si>
  <si>
    <t>075 1 16 01203 01 9000 140</t>
  </si>
  <si>
    <t>1 8 2</t>
  </si>
  <si>
    <t>Федеральная налоговая служба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</si>
  <si>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(сумма платежа (перерасчеты, недоимка и задолженность по соответствующему платежу, в том числе по отмененному)</t>
  </si>
  <si>
    <t>182 1 01 02010 01 1000 110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</si>
  <si>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Федерации, а также доходов от долевого участия в организации, полученных в виде дивидендов (суммы денежных взысканий (штрафов) по соответствующему платежу согласно законодательству Российской Федерации)</t>
  </si>
  <si>
    <t>182 1 01 02010 01 3000 110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</si>
  <si>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</si>
  <si>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182 1 01 02020 01 1000 110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</si>
  <si>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</si>
  <si>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182 1 01 02030 01 1000 110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</si>
  <si>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</si>
  <si>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182 1 01 02030 01 3000 110</t>
  </si>
  <si>
    <t>Налог на доходы физических лиц в части суммы налога, превышающей 650 000 рублей, относящейся к части налоговой базы, превышающей 5 000 000 рублей (за исключением налога на доходы физических лиц с сумм прибыли контролируемой иностранной компании, в том числе фиксированной прибыли контролируемой иностранной компании, а также налога на доходы физических лиц в отношении доходов от долевого участия в организации, полученных в виде дивидендов) (сумма платежа (перерасчеты, недоимка и задолженность по соответствующему платежу, в том числе по отмененному)</t>
  </si>
  <si>
    <t>182 1 01 02080 01 1000 110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</si>
  <si>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не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</si>
  <si>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182 1 01 02130 01 1000 110</t>
  </si>
  <si>
    <t>Налог на доходы физических лиц в отношении доходов от долевого участия в организации, полученных в виде дивидендов (в части суммы налога, превышающей 650 000 рублей) (сумма платежа (перерасчеты, недоимка и задолженность по соответствующему платежу, в том числе по отмененному)</t>
  </si>
  <si>
    <t>182 1 01 02140 01 1000 110</t>
  </si>
  <si>
    <t>182 1 03 02231 01 0000 110</t>
  </si>
  <si>
    <t>182 1 03 02241 01 0000 110</t>
  </si>
  <si>
    <t>182 1 03 02251 01 0000 110</t>
  </si>
  <si>
    <t>182 1 03 02261 01 0000 110</t>
  </si>
  <si>
    <t>Налог, взимаемый с налогоплательщиков, выбравших в качестве объекта налогообложения доходы (сумма платежа (перерасчеты, недоимка и задолженность по соответствующему платежу, в том числе по отмененному)</t>
  </si>
  <si>
    <t>182 1 05 01011 01 1000 110</t>
  </si>
  <si>
    <t>Налог, взимаемый с налогоплательщиков, выбравших в качестве объекта налогообложения доходы (суммы денежных взысканий (штрафов) по соответствующему платежу согласно законодательству Российской Федерации)</t>
  </si>
  <si>
    <t>182 1 05 01011 01 3000 110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</si>
  <si>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(сумма платежа (перерасчеты, недоимка и задолженность по соответствующему платежу, в том числе по отмененному)</t>
  </si>
  <si>
    <t>182 1 05 01021 01 1000 110</t>
  </si>
  <si>
    <t>Налог, взимаемый с налогоплательщиков, выбравших в качестве объекта налогообложения доходы, уменьшенные на величину расходов (в том числе минимальный налог, зачисляемый в бюджеты субъектов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</si>
  <si>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182 1 05 01021 01 3000 110</t>
  </si>
  <si>
    <t>Единый налог на вмененный доход для отдельных видов деятельности (сумма платежа (перерасчеты, недоимка и задолженность по соответствующему платежу, в том числе по отмененному)</t>
  </si>
  <si>
    <t>182 1 05 02010 02 1000 110</t>
  </si>
  <si>
    <t>Единый налог на вмененный доход для отдельных видов деятельности (суммы денежных взысканий (штрафов) по соответствующему платежу согласно законодательству Российской Федерации)</t>
  </si>
  <si>
    <t>182 1 05 02010 02 3000 110</t>
  </si>
  <si>
    <t>Налог, взимаемый в связи с применением патентной системы налогообложения, зачисляемый в бюджеты городских округов (сумма платежа (перерасчеты, недоимка и задолженность по соответствующему платежу, в том числе по отмененному)</t>
  </si>
  <si>
    <t>182 1 05 04010 02 1000 110</t>
  </si>
  <si>
    <t>Налог на имущество физических лиц, взимаемый по ставкам, применяемым к объектам налогообложения,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</si>
  <si>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182 1 06 01020 04 1000 110</t>
  </si>
  <si>
    <t>Земельный налог с организаций,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</si>
  <si>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182 1 06 06032 04 1000 110</t>
  </si>
  <si>
    <t>Земельный налог с организаций,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</si>
  <si>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182 106 06032 04 3000 110</t>
  </si>
  <si>
    <t>Земельный налог с физических лиц, обладающих земельным участком, расположенным в границах городских округов (сумма платежа (перерасчеты, недоимка и задолженность по соответствующему платежу, в том числе по отмененному)</t>
  </si>
  <si>
    <t>182 1 06 06042 04 1000 110</t>
  </si>
  <si>
    <t>Земельный налог с физических лиц, обладающих земельным участком, расположенным в границах городских округов (суммы денежных взысканий (штрафов) по соответствующему платежу согласно законодательству Российской Федерации)</t>
  </si>
  <si>
    <t>182 1 06 06042 04 3000 110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</si>
  <si>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при обращении в суды)</t>
  </si>
  <si>
    <t>182 1 08 03010 01 1050 110</t>
  </si>
  <si>
    <t>Государственная пошлина по делам, рассматриваемым в судах общей юрисдикции, мировыми судьями (за исключением Верховного Суда Российской Федерации) (государственная пошлина, уплачиваемая на основании судебных актов по результатам рассмотрения дел по существу)</t>
  </si>
  <si>
    <t>182 1 08 03010 01 1060 110</t>
  </si>
  <si>
    <t>182 1 16 10129 01 0000 140</t>
  </si>
  <si>
    <t xml:space="preserve">1 8 8 </t>
  </si>
  <si>
    <t>Министерство внутренних дел Российской Федерации</t>
  </si>
  <si>
    <t>Доходы от денежных взысканий (штрафов), поступающие в счет погашения задолженности, образовавшейся до 1 января 2020 года, подлежащие зачислению в бюджет муниципального образования по нормативам, действовавшим в 2019 году (доходы бюджетов городских округов за исключением доходов, направляемых на формирование муниципального дорожного фонда, а также иных платежей в случае принятия решения финансовым органом муниципального образования о раздельном учете задолженности)</t>
  </si>
  <si>
    <t>188 1 16 10123 01 0041 140</t>
  </si>
  <si>
    <t>3 3 5</t>
  </si>
  <si>
    <t>Главное управление региональной безопасности Тверской области</t>
  </si>
  <si>
    <r>
      <rPr>
        <sz val="12"/>
        <rFont val="Times New Roman"/>
        <family val="1"/>
        <charset val="204"/>
      </rPr>
  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</t>
    </r>
    <r>
      <rPr>
        <sz val="12"/>
        <color rgb="FFFF0000"/>
        <rFont val="Times New Roman"/>
        <family val="1"/>
        <charset val="204"/>
      </rPr>
      <t xml:space="preserve"> </t>
    </r>
    <r>
      <rPr>
        <sz val="12"/>
        <rFont val="Times New Roman"/>
        <family val="1"/>
        <charset val="204"/>
      </rPr>
      <t>(штрафы за нарушение трудового законодательства и иных нормативных правовых актов, содержащих нормы трудового права)</t>
    </r>
  </si>
  <si>
    <t>335 1 16 01053 01 0027 140</t>
  </si>
  <si>
    <t>Административные штрафы, установленные главой 5 Кодекса Российской Федерации об административных правонарушениях, за административные правонарушения, посягающие на права граждан, налагаемые мировыми судьями, комиссиями по делам несовершеннолетних и защите их прав (иные штрафы)</t>
  </si>
  <si>
    <t>335 1 16 01053 01 9000 140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</si>
  <si>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потребление наркотических средств или психотропных веществ без назначения врача либо новых потенциально опасных психоактивных веществ)</t>
  </si>
  <si>
    <t>335 1 16 01063 01 0009 140</t>
  </si>
  <si>
    <t>Административные штрафы, установленные главой 6 Кодекса Российской Федерации об административных правонарушениях, за административные правонарушения, посягающие на здоровье, санитарно-эпидемиологическое благополучие населения и общественную нравственность, налагаемые мировыми судьями, комиссиями по делам несовершеннолетних и защите их прав (штрафы за побои)</t>
  </si>
  <si>
    <t>335 1 16 01063 01 0101 140</t>
  </si>
  <si>
    <t>335 1 16 01063 01 9000 140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</si>
  <si>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уничтожение или повреждение чужого имущества)</t>
  </si>
  <si>
    <t>335 1 16 01073 01 0017 140</t>
  </si>
  <si>
    <t>Административные штрафы, установленные главой 7 Кодекса Российской Федерации об административных правонарушениях, за административные правонарушения в области охраны собственности, налагаемые мировыми судьями, комиссиями по делам несовершеннолетних и защите их прав (штрафы за самовольное подключение и использование электрической, тепловой энергии, нефти или газа)</t>
  </si>
  <si>
    <t>335 1 16 01073 01 0019 140</t>
  </si>
  <si>
    <t>335 1 16 01073 01 0027 140</t>
  </si>
  <si>
    <t>Административные штрафы, установленные главой 8 Кодекса Российской Федерации об административных правонарушениях, за административные правонарушения в области охраны окружающей среды и природопользования, налагаемые мировыми судьями, комиссиями по делам несовершеннолетних и защите их прав (штрафы за незаконную рубку, повреждение лесных насаждений или самовольное выкапывание в лесах деревьев, кустарников, лиан)</t>
  </si>
  <si>
    <t>335 1 16 01083 01 0028 140</t>
  </si>
  <si>
    <t>Административные штрафы, установленные главой 9 Кодекса Российской Федерации об административных правонарушениях, за административные правонарушения в промышленности, строительстве и энергетике, налагаемые мировыми судьями, комиссиями по делам несовершеннолетних и защите их прав (штрафы за нарушение порядка полного и (или) частичного ограничения режима потребления электрической энергии, порядка ограничения и прекращения подачи тепловой энергии, правил ограничения подачи (поставки) и отбора газа либо порядка временного прекращения или ограничения водоснабжения, водоотведения, транспортировки воды и (или) сточных вод)</t>
  </si>
  <si>
    <t>335 1 16 01093 01 0022 140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</si>
  <si>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(штрафы за нарушение правил продажи этилового спирта, алкогольной и спиртосодержащей продукции)</t>
  </si>
  <si>
    <t>335 1 16 01143 01 0016 140</t>
  </si>
  <si>
    <t>Административные штрафы, установленные главой 14 Кодекса Российской Федерации об административных правонарушениях, за административные правонарушения в области предпринимательской деятельности и деятельности саморегулируемых организаций, налагаемые мировыми судьями, комиссиями по делам несовершеннолетних и защите их прав (иные штрафы)</t>
  </si>
  <si>
    <t>335 1 16 01143 01 9000 140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</si>
  <si>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(штрафы за непредставление (несообщение) сведений, необходимых для осуществления налогового контроля)</t>
  </si>
  <si>
    <t>335 1 16 01153 01 0006 140</t>
  </si>
  <si>
    <t>Административные штрафы, установленные главой 15 Кодекса Российской Федерации об административных правонарушениях, за административные правонарушения в области финансов, налогов и сборов, страхования, рынка ценных бумаг (за исключением штрафов, указанных в пункте 6 статьи 46 Бюджетного кодекса Российской Федерации), налагаемые мировыми судьями, комиссиями по делам несовершеннолетних и защите их прав (иные штрафы)</t>
  </si>
  <si>
    <t>335 1 16 01153 01 9000 140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</si>
  <si>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невыполнение законных требований прокурора, следователя, дознавателя или должностного лица, осуществляющего производство по делу об административном правонарушении)</t>
  </si>
  <si>
    <t>335 1 16 01173 01 0007 140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</si>
  <si>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(штрафы за воспрепятствование законной деятельности должностного лица органа, уполномоченного на осуществление функций по принудительному исполнению исполнительных документов и обеспечению установленного порядка деятельности судов)</t>
  </si>
  <si>
    <t>335 1 16 01173 01 0008 140</t>
  </si>
  <si>
    <t>Административные штрафы, установленные главой 17 Кодекса Российской Федерации об административных правонарушениях, за административные правонарушения, посягающие на институты государственной власти, налагаемые мировыми судьями, комиссиями по делам несовершеннолетних и защите их прав (иные штрафы)</t>
  </si>
  <si>
    <t>335 1 16 01173 01 9000 140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</si>
  <si>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невыполнение в срок законного предписания (постановления, представления, решения) органа (должностного лица), осуществляющего государственный надзор (контроль), организации, уполномоченной в соответствии с федеральными законами на осуществление государственного надзора (должностного лица), органа (должностного лица), осуществляющего муниципальный контроль)</t>
  </si>
  <si>
    <t>335 1 16 01193 01 0005 140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</si>
  <si>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заведомо ложный вызов специализированных служб)</t>
  </si>
  <si>
    <t>335 1 16 01193 01 0013 140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</si>
  <si>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(штрафы за незаконное привлечение к трудовой деятельности либо к выполнению работ или оказанию услуг государственного или муниципального служащего либо бывшего государственного или муниципального служащего)</t>
  </si>
  <si>
    <t>335 1 16 01193 01 0029 140</t>
  </si>
  <si>
    <t>Административные штрафы, установленные главой 19 Кодекса Российской Федерации об административных правонарушениях, за административные правонарушения против порядка управления, налагаемые мировыми судьями, комиссиями по делам несовершеннолетних и защите их прав (иные штрафы)</t>
  </si>
  <si>
    <t>335 1 16 01193 01 9000 140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</si>
  <si>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нарушение правил производства, приобретения, продажи, передачи, хранения, ношения, коллекционирования, экспонирования, уничтожения или учета оружия и патронов к нему, а также нарушение правил производства, продажи, хранения, уничтожения или учета взрывчатых веществ и взрывных устройств, пиротехнических изделий, порядка выдачи свидетельства о прохождении подготовки и проверки знания правил безопасного обращения с оружием и наличия навыков безопасного обращения с оружием или медицинских заключений об отсутствии противопоказаний к владению оружием)</t>
  </si>
  <si>
    <t>335 1 16 01203 01 0008 140</t>
  </si>
  <si>
    <t>Административные штрафы, установленные главой 20 Кодекса Российской Федерации об административных правонарушениях, за административные правонарушения, посягающие на общественный порядок и общественную безопасность, налагаемые мировыми судьями, комиссиями по делам несовершеннолетних и защите их прав (штрафы за незаконные изготовление, приобретение, продажу, передачу, хранение, перевозку, транспортирование, ношение или использование оружия, основных частей огнестрельного оружия и патронов к оружию)</t>
  </si>
  <si>
    <t>335 1 16 01203 01 0010 140</t>
  </si>
  <si>
    <t>335 1 16 01203 01 0021 140</t>
  </si>
  <si>
    <t>335 1 16 01203 01 9000 140</t>
  </si>
  <si>
    <t xml:space="preserve">от     .    .2024 №   </t>
  </si>
  <si>
    <t xml:space="preserve">от    .   .2023  № </t>
  </si>
  <si>
    <t>Доходы бюджета муниципального образования город Торжок за 2023 год по кодам 
классификации доходов бюджетов</t>
  </si>
  <si>
    <t xml:space="preserve">Доходы от приватизации имущества, находящегося в собственности городских округов, в части приватизации нефинансовых активов имущества казны </t>
  </si>
  <si>
    <t>(Доходы от продажи имущества, за исключением приватизации имущества на условиях преимущественного права выкупа арендуемого имущества субъектами малого и среднего предпринимательства)</t>
  </si>
  <si>
    <t>(Доходы от продажи имущества на условиях преимущественного права выкупа арендуемого имущества субъектами малого и среднего предпринимательства)</t>
  </si>
</sst>
</file>

<file path=xl/styles.xml><?xml version="1.0" encoding="utf-8"?>
<styleSheet xmlns="http://schemas.openxmlformats.org/spreadsheetml/2006/main">
  <numFmts count="5">
    <numFmt numFmtId="164" formatCode="_-* #,##0.00&quot;р.&quot;_-;\-* #,##0.00&quot;р.&quot;_-;_-* &quot;-&quot;??&quot;р.&quot;_-;_-@_-"/>
    <numFmt numFmtId="165" formatCode="_-* #,##0.00_р_._-;\-* #,##0.00_р_._-;_-* &quot;-&quot;??_р_._-;_-@_-"/>
    <numFmt numFmtId="166" formatCode="0.0"/>
    <numFmt numFmtId="167" formatCode="#,##0.0"/>
    <numFmt numFmtId="168" formatCode="#,##0&quot;р.&quot;;\-#,##0&quot;р.&quot;"/>
  </numFmts>
  <fonts count="65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 Cyr"/>
      <charset val="204"/>
    </font>
    <font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theme="3" tint="0.3999755851924192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2"/>
      <name val="Arial Cyr"/>
      <charset val="204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</borders>
  <cellStyleXfs count="233">
    <xf numFmtId="0" fontId="0" fillId="0" borderId="0">
      <alignment wrapText="1"/>
    </xf>
    <xf numFmtId="0" fontId="49" fillId="0" borderId="0"/>
    <xf numFmtId="0" fontId="49" fillId="0" borderId="0"/>
    <xf numFmtId="0" fontId="51" fillId="0" borderId="0"/>
    <xf numFmtId="165" fontId="49" fillId="0" borderId="0" applyFont="0" applyFill="0" applyBorder="0" applyAlignment="0" applyProtection="0"/>
    <xf numFmtId="0" fontId="48" fillId="0" borderId="0"/>
    <xf numFmtId="0" fontId="48" fillId="0" borderId="0"/>
    <xf numFmtId="0" fontId="48" fillId="0" borderId="0"/>
    <xf numFmtId="0" fontId="48" fillId="0" borderId="0"/>
    <xf numFmtId="0" fontId="47" fillId="0" borderId="0"/>
    <xf numFmtId="0" fontId="48" fillId="0" borderId="0"/>
    <xf numFmtId="0" fontId="46" fillId="0" borderId="0"/>
    <xf numFmtId="164" fontId="52" fillId="0" borderId="0">
      <alignment vertical="top" wrapText="1"/>
    </xf>
    <xf numFmtId="164" fontId="54" fillId="0" borderId="0">
      <alignment vertical="top" wrapText="1"/>
    </xf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5" fillId="0" borderId="0"/>
    <xf numFmtId="0" fontId="44" fillId="0" borderId="0"/>
    <xf numFmtId="0" fontId="43" fillId="0" borderId="0"/>
    <xf numFmtId="0" fontId="43" fillId="0" borderId="0"/>
    <xf numFmtId="0" fontId="48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3" fillId="0" borderId="0"/>
    <xf numFmtId="0" fontId="42" fillId="0" borderId="0"/>
    <xf numFmtId="0" fontId="41" fillId="0" borderId="0"/>
    <xf numFmtId="0" fontId="41" fillId="0" borderId="0"/>
    <xf numFmtId="0" fontId="48" fillId="0" borderId="0"/>
    <xf numFmtId="164" fontId="52" fillId="0" borderId="0">
      <alignment vertical="top" wrapText="1"/>
    </xf>
    <xf numFmtId="0" fontId="41" fillId="0" borderId="0"/>
    <xf numFmtId="0" fontId="41" fillId="0" borderId="0"/>
    <xf numFmtId="0" fontId="41" fillId="0" borderId="0"/>
    <xf numFmtId="0" fontId="48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8" fillId="0" borderId="0"/>
    <xf numFmtId="0" fontId="48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165" fontId="48" fillId="0" borderId="0" applyFont="0" applyFill="0" applyBorder="0" applyAlignment="0" applyProtection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40" fillId="0" borderId="0"/>
    <xf numFmtId="0" fontId="39" fillId="0" borderId="0"/>
    <xf numFmtId="0" fontId="39" fillId="0" borderId="0"/>
    <xf numFmtId="0" fontId="38" fillId="0" borderId="0"/>
    <xf numFmtId="0" fontId="38" fillId="0" borderId="0"/>
    <xf numFmtId="0" fontId="37" fillId="0" borderId="0"/>
    <xf numFmtId="0" fontId="37" fillId="0" borderId="0"/>
    <xf numFmtId="164" fontId="48" fillId="0" borderId="0" applyFont="0" applyFill="0" applyBorder="0" applyAlignment="0" applyProtection="0"/>
    <xf numFmtId="0" fontId="36" fillId="0" borderId="0"/>
    <xf numFmtId="0" fontId="36" fillId="0" borderId="0"/>
    <xf numFmtId="0" fontId="36" fillId="0" borderId="0"/>
    <xf numFmtId="168" fontId="52" fillId="0" borderId="0">
      <alignment vertical="top" wrapText="1"/>
    </xf>
    <xf numFmtId="0" fontId="35" fillId="0" borderId="0"/>
    <xf numFmtId="0" fontId="34" fillId="0" borderId="0"/>
    <xf numFmtId="0" fontId="34" fillId="0" borderId="0"/>
    <xf numFmtId="0" fontId="33" fillId="0" borderId="0"/>
    <xf numFmtId="0" fontId="33" fillId="0" borderId="0"/>
    <xf numFmtId="0" fontId="32" fillId="0" borderId="0"/>
    <xf numFmtId="0" fontId="32" fillId="0" borderId="0"/>
    <xf numFmtId="0" fontId="32" fillId="0" borderId="0"/>
    <xf numFmtId="0" fontId="31" fillId="0" borderId="0"/>
    <xf numFmtId="0" fontId="31" fillId="0" borderId="0"/>
    <xf numFmtId="0" fontId="31" fillId="0" borderId="0"/>
    <xf numFmtId="0" fontId="30" fillId="0" borderId="0"/>
    <xf numFmtId="0" fontId="30" fillId="0" borderId="0"/>
    <xf numFmtId="0" fontId="30" fillId="0" borderId="0"/>
    <xf numFmtId="0" fontId="29" fillId="0" borderId="0"/>
    <xf numFmtId="0" fontId="29" fillId="0" borderId="0"/>
    <xf numFmtId="0" fontId="28" fillId="0" borderId="0"/>
    <xf numFmtId="0" fontId="28" fillId="0" borderId="0"/>
    <xf numFmtId="0" fontId="27" fillId="0" borderId="0"/>
    <xf numFmtId="0" fontId="27" fillId="0" borderId="0"/>
    <xf numFmtId="0" fontId="26" fillId="0" borderId="0"/>
    <xf numFmtId="0" fontId="25" fillId="0" borderId="0"/>
    <xf numFmtId="0" fontId="25" fillId="0" borderId="0"/>
    <xf numFmtId="0" fontId="24" fillId="0" borderId="0"/>
    <xf numFmtId="0" fontId="24" fillId="0" borderId="0"/>
    <xf numFmtId="0" fontId="24" fillId="0" borderId="0"/>
    <xf numFmtId="0" fontId="23" fillId="0" borderId="0"/>
    <xf numFmtId="0" fontId="23" fillId="0" borderId="0"/>
    <xf numFmtId="0" fontId="23" fillId="0" borderId="0"/>
    <xf numFmtId="0" fontId="22" fillId="0" borderId="0"/>
    <xf numFmtId="0" fontId="22" fillId="0" borderId="0"/>
    <xf numFmtId="0" fontId="22" fillId="0" borderId="0"/>
    <xf numFmtId="0" fontId="21" fillId="0" borderId="0"/>
    <xf numFmtId="0" fontId="20" fillId="0" borderId="0"/>
    <xf numFmtId="0" fontId="20" fillId="0" borderId="0"/>
    <xf numFmtId="0" fontId="20" fillId="0" borderId="0"/>
    <xf numFmtId="0" fontId="19" fillId="0" borderId="0"/>
    <xf numFmtId="0" fontId="19" fillId="0" borderId="0"/>
    <xf numFmtId="0" fontId="19" fillId="0" borderId="0"/>
    <xf numFmtId="0" fontId="18" fillId="0" borderId="0"/>
    <xf numFmtId="0" fontId="18" fillId="0" borderId="0"/>
    <xf numFmtId="0" fontId="17" fillId="0" borderId="0"/>
    <xf numFmtId="0" fontId="17" fillId="0" borderId="0"/>
    <xf numFmtId="0" fontId="17" fillId="0" borderId="0"/>
    <xf numFmtId="0" fontId="16" fillId="0" borderId="0"/>
    <xf numFmtId="0" fontId="16" fillId="0" borderId="0"/>
    <xf numFmtId="0" fontId="16" fillId="0" borderId="0"/>
    <xf numFmtId="0" fontId="15" fillId="0" borderId="0"/>
    <xf numFmtId="0" fontId="15" fillId="0" borderId="0"/>
    <xf numFmtId="0" fontId="15" fillId="0" borderId="0"/>
    <xf numFmtId="0" fontId="14" fillId="0" borderId="0"/>
    <xf numFmtId="0" fontId="14" fillId="0" borderId="0"/>
    <xf numFmtId="0" fontId="14" fillId="0" borderId="0"/>
    <xf numFmtId="0" fontId="13" fillId="0" borderId="0"/>
    <xf numFmtId="0" fontId="13" fillId="0" borderId="0"/>
    <xf numFmtId="0" fontId="13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2" fillId="0" borderId="0"/>
    <xf numFmtId="0" fontId="11" fillId="0" borderId="0"/>
    <xf numFmtId="0" fontId="11" fillId="0" borderId="0"/>
    <xf numFmtId="0" fontId="11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164" fontId="52" fillId="0" borderId="0">
      <alignment vertical="top" wrapText="1"/>
    </xf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8" fillId="0" borderId="0"/>
    <xf numFmtId="0" fontId="1" fillId="0" borderId="0"/>
    <xf numFmtId="0" fontId="1" fillId="0" borderId="0"/>
    <xf numFmtId="0" fontId="48" fillId="0" borderId="0"/>
    <xf numFmtId="0" fontId="1" fillId="0" borderId="0"/>
  </cellStyleXfs>
  <cellXfs count="455">
    <xf numFmtId="0" fontId="0" fillId="0" borderId="0" xfId="0">
      <alignment wrapText="1"/>
    </xf>
    <xf numFmtId="49" fontId="55" fillId="0" borderId="1" xfId="0" applyNumberFormat="1" applyFont="1" applyFill="1" applyBorder="1" applyAlignment="1">
      <alignment horizontal="center" vertical="center" wrapText="1"/>
    </xf>
    <xf numFmtId="49" fontId="50" fillId="0" borderId="1" xfId="0" applyNumberFormat="1" applyFont="1" applyFill="1" applyBorder="1" applyAlignment="1">
      <alignment horizontal="center" vertical="center" wrapText="1"/>
    </xf>
    <xf numFmtId="164" fontId="53" fillId="0" borderId="0" xfId="12" applyNumberFormat="1" applyFont="1" applyFill="1" applyAlignment="1">
      <alignment vertical="top" wrapText="1"/>
    </xf>
    <xf numFmtId="0" fontId="57" fillId="0" borderId="3" xfId="12" applyNumberFormat="1" applyFont="1" applyFill="1" applyBorder="1" applyAlignment="1">
      <alignment horizontal="center" vertical="center" wrapText="1"/>
    </xf>
    <xf numFmtId="0" fontId="57" fillId="0" borderId="3" xfId="12" applyNumberFormat="1" applyFont="1" applyFill="1" applyBorder="1" applyAlignment="1">
      <alignment horizontal="left" vertical="center" wrapText="1"/>
    </xf>
    <xf numFmtId="167" fontId="57" fillId="0" borderId="3" xfId="12" applyNumberFormat="1" applyFont="1" applyFill="1" applyBorder="1" applyAlignment="1">
      <alignment horizontal="center" vertical="center" wrapText="1"/>
    </xf>
    <xf numFmtId="167" fontId="53" fillId="0" borderId="3" xfId="12" applyNumberFormat="1" applyFont="1" applyFill="1" applyBorder="1" applyAlignment="1">
      <alignment horizontal="center" vertical="center" wrapText="1"/>
    </xf>
    <xf numFmtId="0" fontId="50" fillId="0" borderId="1" xfId="0" applyFont="1" applyFill="1" applyBorder="1" applyAlignment="1">
      <alignment vertical="center" wrapText="1"/>
    </xf>
    <xf numFmtId="49" fontId="50" fillId="0" borderId="1" xfId="0" applyNumberFormat="1" applyFont="1" applyFill="1" applyBorder="1" applyAlignment="1" applyProtection="1">
      <alignment horizontal="center" vertical="center"/>
      <protection locked="0"/>
    </xf>
    <xf numFmtId="49" fontId="50" fillId="0" borderId="1" xfId="0" applyNumberFormat="1" applyFont="1" applyFill="1" applyBorder="1" applyAlignment="1">
      <alignment horizontal="center" vertical="center"/>
    </xf>
    <xf numFmtId="0" fontId="50" fillId="0" borderId="1" xfId="0" applyFont="1" applyFill="1" applyBorder="1" applyAlignment="1">
      <alignment horizontal="center" vertical="center" wrapText="1"/>
    </xf>
    <xf numFmtId="0" fontId="55" fillId="0" borderId="1" xfId="0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164" fontId="53" fillId="0" borderId="0" xfId="12" applyNumberFormat="1" applyFont="1" applyFill="1" applyAlignment="1">
      <alignment vertical="center" wrapText="1"/>
    </xf>
    <xf numFmtId="49" fontId="53" fillId="0" borderId="3" xfId="12" applyNumberFormat="1" applyFont="1" applyFill="1" applyBorder="1" applyAlignment="1">
      <alignment horizontal="center" vertical="center" wrapText="1"/>
    </xf>
    <xf numFmtId="0" fontId="57" fillId="0" borderId="1" xfId="12" applyNumberFormat="1" applyFont="1" applyFill="1" applyBorder="1" applyAlignment="1">
      <alignment horizontal="center" vertical="center" wrapText="1"/>
    </xf>
    <xf numFmtId="167" fontId="53" fillId="0" borderId="1" xfId="12" applyNumberFormat="1" applyFont="1" applyFill="1" applyBorder="1" applyAlignment="1">
      <alignment horizontal="center" vertical="center" wrapText="1"/>
    </xf>
    <xf numFmtId="0" fontId="58" fillId="0" borderId="1" xfId="12" applyNumberFormat="1" applyFont="1" applyFill="1" applyBorder="1" applyAlignment="1">
      <alignment horizontal="center" vertical="center" wrapText="1"/>
    </xf>
    <xf numFmtId="0" fontId="56" fillId="0" borderId="1" xfId="0" applyFont="1" applyFill="1" applyBorder="1" applyAlignment="1">
      <alignment horizontal="left" vertical="center" wrapText="1"/>
    </xf>
    <xf numFmtId="164" fontId="53" fillId="0" borderId="0" xfId="12" applyNumberFormat="1" applyFont="1" applyFill="1" applyAlignment="1">
      <alignment horizontal="center" vertical="center" wrapText="1"/>
    </xf>
    <xf numFmtId="167" fontId="50" fillId="0" borderId="1" xfId="12" applyNumberFormat="1" applyFont="1" applyFill="1" applyBorder="1" applyAlignment="1">
      <alignment horizontal="center" vertical="center" wrapText="1"/>
    </xf>
    <xf numFmtId="49" fontId="53" fillId="0" borderId="1" xfId="12" applyNumberFormat="1" applyFont="1" applyFill="1" applyBorder="1" applyAlignment="1">
      <alignment horizontal="center" vertical="center" wrapText="1"/>
    </xf>
    <xf numFmtId="0" fontId="56" fillId="0" borderId="1" xfId="0" applyFont="1" applyFill="1" applyBorder="1" applyAlignment="1">
      <alignment horizontal="left" vertical="center"/>
    </xf>
    <xf numFmtId="0" fontId="53" fillId="0" borderId="1" xfId="12" applyNumberFormat="1" applyFont="1" applyFill="1" applyBorder="1" applyAlignment="1">
      <alignment vertical="center" wrapText="1"/>
    </xf>
    <xf numFmtId="0" fontId="53" fillId="0" borderId="3" xfId="12" applyNumberFormat="1" applyFont="1" applyFill="1" applyBorder="1" applyAlignment="1">
      <alignment horizontal="center" vertical="center" wrapText="1"/>
    </xf>
    <xf numFmtId="167" fontId="56" fillId="0" borderId="1" xfId="12" applyNumberFormat="1" applyFont="1" applyFill="1" applyBorder="1" applyAlignment="1">
      <alignment horizontal="center" vertical="center" wrapText="1"/>
    </xf>
    <xf numFmtId="164" fontId="50" fillId="0" borderId="0" xfId="12" applyNumberFormat="1" applyFont="1" applyFill="1" applyAlignment="1">
      <alignment vertical="top" wrapText="1"/>
    </xf>
    <xf numFmtId="0" fontId="56" fillId="0" borderId="1" xfId="12" applyNumberFormat="1" applyFont="1" applyFill="1" applyBorder="1" applyAlignment="1">
      <alignment horizontal="center" vertical="center" wrapText="1"/>
    </xf>
    <xf numFmtId="2" fontId="53" fillId="0" borderId="0" xfId="12" applyNumberFormat="1" applyFont="1" applyFill="1" applyAlignment="1">
      <alignment vertical="top" wrapText="1"/>
    </xf>
    <xf numFmtId="164" fontId="53" fillId="0" borderId="0" xfId="13" applyNumberFormat="1" applyFont="1" applyFill="1" applyAlignment="1">
      <alignment vertical="center" wrapText="1"/>
    </xf>
    <xf numFmtId="0" fontId="57" fillId="0" borderId="6" xfId="13" applyNumberFormat="1" applyFont="1" applyFill="1" applyBorder="1" applyAlignment="1">
      <alignment horizontal="center" vertical="center" wrapText="1"/>
    </xf>
    <xf numFmtId="0" fontId="57" fillId="0" borderId="6" xfId="13" applyNumberFormat="1" applyFont="1" applyFill="1" applyBorder="1" applyAlignment="1">
      <alignment horizontal="left" vertical="center" wrapText="1"/>
    </xf>
    <xf numFmtId="0" fontId="56" fillId="0" borderId="1" xfId="13" applyNumberFormat="1" applyFont="1" applyFill="1" applyBorder="1" applyAlignment="1">
      <alignment horizontal="center" vertical="center" wrapText="1"/>
    </xf>
    <xf numFmtId="164" fontId="57" fillId="0" borderId="0" xfId="13" applyNumberFormat="1" applyFont="1" applyFill="1" applyAlignment="1">
      <alignment vertical="center" wrapText="1"/>
    </xf>
    <xf numFmtId="166" fontId="57" fillId="0" borderId="6" xfId="13" applyNumberFormat="1" applyFont="1" applyFill="1" applyBorder="1" applyAlignment="1">
      <alignment horizontal="center" vertical="center" wrapText="1"/>
    </xf>
    <xf numFmtId="166" fontId="57" fillId="0" borderId="1" xfId="13" applyNumberFormat="1" applyFont="1" applyFill="1" applyBorder="1" applyAlignment="1">
      <alignment horizontal="center" vertical="center" wrapText="1"/>
    </xf>
    <xf numFmtId="166" fontId="53" fillId="0" borderId="1" xfId="13" applyNumberFormat="1" applyFont="1" applyFill="1" applyBorder="1" applyAlignment="1">
      <alignment horizontal="center" vertical="center" wrapText="1"/>
    </xf>
    <xf numFmtId="166" fontId="53" fillId="0" borderId="0" xfId="13" applyNumberFormat="1" applyFont="1" applyFill="1" applyAlignment="1">
      <alignment vertical="center" wrapText="1"/>
    </xf>
    <xf numFmtId="166" fontId="50" fillId="0" borderId="1" xfId="13" applyNumberFormat="1" applyFont="1" applyFill="1" applyBorder="1" applyAlignment="1">
      <alignment horizontal="center" vertical="center" wrapText="1"/>
    </xf>
    <xf numFmtId="0" fontId="56" fillId="0" borderId="3" xfId="12" applyNumberFormat="1" applyFont="1" applyFill="1" applyBorder="1" applyAlignment="1">
      <alignment horizontal="left" vertical="center" wrapText="1"/>
    </xf>
    <xf numFmtId="49" fontId="53" fillId="0" borderId="0" xfId="12" applyNumberFormat="1" applyFont="1" applyFill="1" applyAlignment="1">
      <alignment vertical="top" wrapText="1"/>
    </xf>
    <xf numFmtId="0" fontId="50" fillId="0" borderId="1" xfId="0" applyFont="1" applyFill="1" applyBorder="1" applyAlignment="1">
      <alignment horizontal="left" vertical="center" wrapText="1"/>
    </xf>
    <xf numFmtId="167" fontId="57" fillId="0" borderId="8" xfId="12" applyNumberFormat="1" applyFont="1" applyFill="1" applyBorder="1" applyAlignment="1">
      <alignment horizontal="center" vertical="center" wrapText="1"/>
    </xf>
    <xf numFmtId="0" fontId="50" fillId="0" borderId="1" xfId="0" applyFont="1" applyBorder="1" applyAlignment="1">
      <alignment horizontal="left" vertical="center" wrapText="1"/>
    </xf>
    <xf numFmtId="0" fontId="56" fillId="0" borderId="1" xfId="12" applyNumberFormat="1" applyFont="1" applyFill="1" applyBorder="1" applyAlignment="1">
      <alignment horizontal="left" vertical="center" wrapText="1"/>
    </xf>
    <xf numFmtId="0" fontId="50" fillId="0" borderId="1" xfId="0" applyFont="1" applyFill="1" applyBorder="1" applyAlignment="1" applyProtection="1">
      <alignment horizontal="left" vertical="center" wrapText="1"/>
      <protection locked="0"/>
    </xf>
    <xf numFmtId="49" fontId="50" fillId="0" borderId="1" xfId="0" applyNumberFormat="1" applyFont="1" applyFill="1" applyBorder="1" applyAlignment="1">
      <alignment horizontal="left" vertical="center" wrapText="1"/>
    </xf>
    <xf numFmtId="164" fontId="50" fillId="0" borderId="0" xfId="12" applyNumberFormat="1" applyFont="1" applyFill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left" vertical="center" wrapText="1"/>
    </xf>
    <xf numFmtId="49" fontId="55" fillId="0" borderId="1" xfId="0" applyNumberFormat="1" applyFont="1" applyFill="1" applyBorder="1" applyAlignment="1">
      <alignment horizontal="left" vertical="center" wrapText="1"/>
    </xf>
    <xf numFmtId="164" fontId="53" fillId="0" borderId="0" xfId="12" applyNumberFormat="1" applyFont="1" applyFill="1" applyAlignment="1">
      <alignment horizontal="left" vertical="center" wrapText="1"/>
    </xf>
    <xf numFmtId="0" fontId="53" fillId="0" borderId="3" xfId="13" applyNumberFormat="1" applyFont="1" applyFill="1" applyBorder="1" applyAlignment="1">
      <alignment horizontal="left" vertical="center" wrapText="1"/>
    </xf>
    <xf numFmtId="0" fontId="57" fillId="0" borderId="1" xfId="12" applyNumberFormat="1" applyFont="1" applyFill="1" applyBorder="1" applyAlignment="1">
      <alignment horizontal="left" vertical="center" wrapText="1"/>
    </xf>
    <xf numFmtId="164" fontId="53" fillId="0" borderId="0" xfId="13" applyNumberFormat="1" applyFont="1" applyFill="1" applyAlignment="1">
      <alignment horizontal="left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3" fillId="0" borderId="6" xfId="12" applyNumberFormat="1" applyFont="1" applyFill="1" applyBorder="1" applyAlignment="1">
      <alignment horizontal="left" vertical="center" wrapText="1"/>
    </xf>
    <xf numFmtId="167" fontId="53" fillId="0" borderId="6" xfId="12" applyNumberFormat="1" applyFont="1" applyFill="1" applyBorder="1" applyAlignment="1">
      <alignment horizontal="center" vertical="center" wrapText="1"/>
    </xf>
    <xf numFmtId="167" fontId="57" fillId="0" borderId="1" xfId="12" applyNumberFormat="1" applyFont="1" applyFill="1" applyBorder="1" applyAlignment="1">
      <alignment horizontal="center" vertical="center" wrapText="1"/>
    </xf>
    <xf numFmtId="167" fontId="53" fillId="0" borderId="8" xfId="12" applyNumberFormat="1" applyFont="1" applyFill="1" applyBorder="1" applyAlignment="1">
      <alignment horizontal="center" vertical="center" wrapText="1"/>
    </xf>
    <xf numFmtId="0" fontId="50" fillId="0" borderId="0" xfId="0" applyFont="1" applyFill="1">
      <alignment wrapText="1"/>
    </xf>
    <xf numFmtId="0" fontId="53" fillId="0" borderId="10" xfId="12" applyNumberFormat="1" applyFont="1" applyFill="1" applyBorder="1" applyAlignment="1">
      <alignment horizontal="center" vertical="center" wrapText="1"/>
    </xf>
    <xf numFmtId="49" fontId="53" fillId="0" borderId="10" xfId="12" applyNumberFormat="1" applyFont="1" applyFill="1" applyBorder="1" applyAlignment="1">
      <alignment horizontal="center" vertical="center" wrapText="1"/>
    </xf>
    <xf numFmtId="0" fontId="53" fillId="0" borderId="8" xfId="12" applyNumberFormat="1" applyFont="1" applyFill="1" applyBorder="1" applyAlignment="1">
      <alignment horizontal="left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167" fontId="53" fillId="0" borderId="10" xfId="12" applyNumberFormat="1" applyFont="1" applyFill="1" applyBorder="1" applyAlignment="1">
      <alignment horizontal="center" vertical="center" wrapText="1"/>
    </xf>
    <xf numFmtId="0" fontId="53" fillId="0" borderId="11" xfId="12" applyNumberFormat="1" applyFont="1" applyFill="1" applyBorder="1" applyAlignment="1">
      <alignment horizontal="center" vertical="center" wrapText="1"/>
    </xf>
    <xf numFmtId="167" fontId="53" fillId="0" borderId="11" xfId="12" applyNumberFormat="1" applyFont="1" applyFill="1" applyBorder="1" applyAlignment="1">
      <alignment horizontal="center" vertical="center" wrapText="1"/>
    </xf>
    <xf numFmtId="167" fontId="53" fillId="0" borderId="2" xfId="12" applyNumberFormat="1" applyFont="1" applyFill="1" applyBorder="1" applyAlignment="1">
      <alignment horizontal="center" vertical="center" wrapText="1"/>
    </xf>
    <xf numFmtId="164" fontId="53" fillId="0" borderId="1" xfId="12" applyNumberFormat="1" applyFont="1" applyFill="1" applyBorder="1" applyAlignment="1">
      <alignment vertical="top" wrapText="1"/>
    </xf>
    <xf numFmtId="0" fontId="53" fillId="0" borderId="6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167" fontId="53" fillId="0" borderId="5" xfId="12" applyNumberFormat="1" applyFont="1" applyFill="1" applyBorder="1" applyAlignment="1">
      <alignment horizontal="center" vertical="center" wrapText="1"/>
    </xf>
    <xf numFmtId="167" fontId="53" fillId="0" borderId="14" xfId="12" applyNumberFormat="1" applyFont="1" applyFill="1" applyBorder="1" applyAlignment="1">
      <alignment horizontal="center" vertical="center" wrapText="1"/>
    </xf>
    <xf numFmtId="0" fontId="53" fillId="0" borderId="11" xfId="12" applyNumberFormat="1" applyFont="1" applyFill="1" applyBorder="1" applyAlignment="1">
      <alignment horizontal="left" vertical="center" wrapText="1"/>
    </xf>
    <xf numFmtId="0" fontId="53" fillId="0" borderId="12" xfId="12" applyNumberFormat="1" applyFont="1" applyFill="1" applyBorder="1" applyAlignment="1">
      <alignment horizontal="center" vertical="center" wrapText="1"/>
    </xf>
    <xf numFmtId="0" fontId="57" fillId="0" borderId="4" xfId="12" applyNumberFormat="1" applyFont="1" applyFill="1" applyBorder="1" applyAlignment="1">
      <alignment horizontal="center" vertical="center" wrapText="1"/>
    </xf>
    <xf numFmtId="164" fontId="53" fillId="0" borderId="0" xfId="13" applyNumberFormat="1" applyFont="1" applyFill="1" applyBorder="1" applyAlignment="1">
      <alignment vertical="center" wrapText="1"/>
    </xf>
    <xf numFmtId="164" fontId="53" fillId="0" borderId="0" xfId="13" applyNumberFormat="1" applyFont="1" applyFill="1" applyBorder="1" applyAlignment="1">
      <alignment horizontal="left" vertical="center" wrapText="1"/>
    </xf>
    <xf numFmtId="166" fontId="53" fillId="0" borderId="0" xfId="13" applyNumberFormat="1" applyFont="1" applyFill="1" applyBorder="1" applyAlignment="1">
      <alignment vertical="center" wrapText="1"/>
    </xf>
    <xf numFmtId="164" fontId="57" fillId="0" borderId="0" xfId="13" applyNumberFormat="1" applyFont="1" applyFill="1" applyBorder="1" applyAlignment="1">
      <alignment vertical="center" wrapText="1"/>
    </xf>
    <xf numFmtId="49" fontId="50" fillId="0" borderId="1" xfId="0" applyNumberFormat="1" applyFont="1" applyBorder="1" applyAlignment="1">
      <alignment horizontal="center" vertical="center"/>
    </xf>
    <xf numFmtId="0" fontId="50" fillId="0" borderId="0" xfId="0" applyFont="1">
      <alignment wrapText="1"/>
    </xf>
    <xf numFmtId="49" fontId="56" fillId="0" borderId="1" xfId="0" applyNumberFormat="1" applyFont="1" applyBorder="1" applyAlignment="1">
      <alignment horizontal="center" vertical="center"/>
    </xf>
    <xf numFmtId="0" fontId="56" fillId="0" borderId="1" xfId="0" applyFont="1" applyBorder="1" applyAlignment="1">
      <alignment horizontal="left" vertical="center" wrapText="1"/>
    </xf>
    <xf numFmtId="166" fontId="56" fillId="0" borderId="1" xfId="0" applyNumberFormat="1" applyFont="1" applyBorder="1" applyAlignment="1">
      <alignment horizontal="center" vertical="center"/>
    </xf>
    <xf numFmtId="166" fontId="50" fillId="0" borderId="1" xfId="0" applyNumberFormat="1" applyFont="1" applyBorder="1" applyAlignment="1">
      <alignment horizontal="center" vertical="center"/>
    </xf>
    <xf numFmtId="166" fontId="50" fillId="0" borderId="1" xfId="0" applyNumberFormat="1" applyFont="1" applyBorder="1" applyAlignment="1">
      <alignment horizontal="center" vertical="center" wrapText="1"/>
    </xf>
    <xf numFmtId="49" fontId="50" fillId="0" borderId="0" xfId="0" applyNumberFormat="1" applyFont="1" applyFill="1" applyBorder="1" applyAlignment="1">
      <alignment horizontal="center"/>
    </xf>
    <xf numFmtId="49" fontId="50" fillId="0" borderId="0" xfId="0" applyNumberFormat="1" applyFont="1" applyFill="1" applyBorder="1" applyAlignment="1">
      <alignment horizontal="right"/>
    </xf>
    <xf numFmtId="0" fontId="53" fillId="0" borderId="2" xfId="0" applyFont="1" applyFill="1" applyBorder="1" applyAlignment="1">
      <alignment horizontal="center" vertical="center" wrapText="1"/>
    </xf>
    <xf numFmtId="0" fontId="50" fillId="0" borderId="2" xfId="0" applyFont="1" applyFill="1" applyBorder="1" applyAlignment="1">
      <alignment horizontal="left" vertical="center" wrapText="1"/>
    </xf>
    <xf numFmtId="0" fontId="50" fillId="0" borderId="2" xfId="0" applyFont="1" applyFill="1" applyBorder="1" applyAlignment="1">
      <alignment horizontal="center" vertical="center" wrapText="1"/>
    </xf>
    <xf numFmtId="166" fontId="53" fillId="0" borderId="2" xfId="0" applyNumberFormat="1" applyFont="1" applyFill="1" applyBorder="1" applyAlignment="1">
      <alignment horizontal="center" vertical="center" wrapText="1"/>
    </xf>
    <xf numFmtId="0" fontId="50" fillId="0" borderId="0" xfId="0" applyFont="1" applyFill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0" fontId="53" fillId="0" borderId="3" xfId="13" applyNumberFormat="1" applyFont="1" applyFill="1" applyBorder="1" applyAlignment="1">
      <alignment horizontal="center" vertical="center" wrapText="1"/>
    </xf>
    <xf numFmtId="49" fontId="50" fillId="0" borderId="2" xfId="0" applyNumberFormat="1" applyFont="1" applyFill="1" applyBorder="1" applyAlignment="1">
      <alignment horizontal="center" vertical="center" wrapText="1"/>
    </xf>
    <xf numFmtId="167" fontId="53" fillId="0" borderId="2" xfId="0" applyNumberFormat="1" applyFont="1" applyFill="1" applyBorder="1" applyAlignment="1">
      <alignment horizontal="center" vertical="center" wrapText="1"/>
    </xf>
    <xf numFmtId="167" fontId="50" fillId="0" borderId="2" xfId="0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0" fillId="0" borderId="12" xfId="12" applyNumberFormat="1" applyFont="1" applyFill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0" fillId="0" borderId="1" xfId="0" applyFont="1" applyBorder="1">
      <alignment wrapText="1"/>
    </xf>
    <xf numFmtId="0" fontId="50" fillId="0" borderId="1" xfId="0" applyFont="1" applyBorder="1" applyAlignment="1">
      <alignment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166" fontId="53" fillId="0" borderId="2" xfId="13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166" fontId="53" fillId="0" borderId="1" xfId="0" applyNumberFormat="1" applyFont="1" applyFill="1" applyBorder="1" applyAlignment="1">
      <alignment horizontal="center" vertical="center" wrapText="1"/>
    </xf>
    <xf numFmtId="0" fontId="50" fillId="0" borderId="1" xfId="0" applyFont="1" applyFill="1" applyBorder="1">
      <alignment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49" fontId="50" fillId="0" borderId="1" xfId="0" applyNumberFormat="1" applyFont="1" applyFill="1" applyBorder="1" applyAlignment="1">
      <alignment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166" fontId="53" fillId="0" borderId="3" xfId="13" applyNumberFormat="1" applyFont="1" applyFill="1" applyBorder="1" applyAlignment="1">
      <alignment horizontal="center" vertical="center" wrapText="1"/>
    </xf>
    <xf numFmtId="0" fontId="50" fillId="0" borderId="0" xfId="0" applyFont="1" applyAlignment="1">
      <alignment horizontal="right"/>
    </xf>
    <xf numFmtId="0" fontId="50" fillId="0" borderId="10" xfId="0" applyFont="1" applyBorder="1" applyAlignment="1">
      <alignment horizontal="center" vertical="center" wrapText="1"/>
    </xf>
    <xf numFmtId="0" fontId="50" fillId="0" borderId="0" xfId="0" applyFont="1" applyAlignment="1">
      <alignment horizontal="center" vertical="center"/>
    </xf>
    <xf numFmtId="0" fontId="50" fillId="0" borderId="0" xfId="0" applyFont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0" xfId="0" applyFont="1" applyAlignment="1">
      <alignment horizontal="right"/>
    </xf>
    <xf numFmtId="0" fontId="53" fillId="0" borderId="0" xfId="12" applyNumberFormat="1" applyFont="1" applyFill="1" applyAlignment="1">
      <alignment horizontal="right" vertical="top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0" xfId="13" applyNumberFormat="1" applyFont="1" applyFill="1" applyAlignment="1">
      <alignment horizontal="righ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167" fontId="50" fillId="0" borderId="2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1" xfId="183" applyNumberFormat="1" applyFont="1" applyFill="1" applyBorder="1" applyAlignment="1">
      <alignment horizontal="center" vertical="center" wrapText="1"/>
    </xf>
    <xf numFmtId="0" fontId="50" fillId="0" borderId="12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5" xfId="0" applyFont="1" applyBorder="1" applyAlignment="1">
      <alignment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1" xfId="12" applyNumberFormat="1" applyFont="1" applyFill="1" applyBorder="1" applyAlignment="1">
      <alignment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6" xfId="12" applyNumberFormat="1" applyFont="1" applyFill="1" applyBorder="1" applyAlignment="1">
      <alignment horizontal="center" vertical="center" wrapText="1"/>
    </xf>
    <xf numFmtId="0" fontId="53" fillId="0" borderId="0" xfId="12" applyNumberFormat="1" applyFont="1" applyFill="1" applyAlignment="1">
      <alignment horizontal="right" vertical="center" wrapText="1"/>
    </xf>
    <xf numFmtId="0" fontId="53" fillId="0" borderId="4" xfId="12" applyNumberFormat="1" applyFont="1" applyFill="1" applyBorder="1" applyAlignment="1">
      <alignment horizontal="center" vertical="center" wrapText="1"/>
    </xf>
    <xf numFmtId="0" fontId="53" fillId="0" borderId="0" xfId="12" applyNumberFormat="1" applyFont="1" applyFill="1" applyAlignment="1">
      <alignment horizontal="right" vertical="top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3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0" fontId="56" fillId="0" borderId="8" xfId="12" applyNumberFormat="1" applyFont="1" applyFill="1" applyBorder="1" applyAlignment="1">
      <alignment horizontal="left" vertical="center" wrapText="1"/>
    </xf>
    <xf numFmtId="0" fontId="50" fillId="0" borderId="1" xfId="0" applyFont="1" applyFill="1" applyBorder="1" applyAlignment="1">
      <alignment horizontal="center" vertical="center"/>
    </xf>
    <xf numFmtId="0" fontId="50" fillId="0" borderId="15" xfId="0" applyFont="1" applyFill="1" applyBorder="1" applyAlignment="1">
      <alignment vertical="center" wrapText="1"/>
    </xf>
    <xf numFmtId="0" fontId="50" fillId="0" borderId="0" xfId="0" applyFont="1" applyAlignment="1">
      <alignment horizontal="right"/>
    </xf>
    <xf numFmtId="0" fontId="50" fillId="0" borderId="10" xfId="0" applyFont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center" vertical="center" wrapText="1"/>
    </xf>
    <xf numFmtId="0" fontId="53" fillId="0" borderId="4" xfId="12" applyNumberFormat="1" applyFont="1" applyFill="1" applyBorder="1" applyAlignment="1">
      <alignment horizontal="center" vertical="center" wrapText="1"/>
    </xf>
    <xf numFmtId="0" fontId="53" fillId="0" borderId="0" xfId="12" applyNumberFormat="1" applyFont="1" applyFill="1" applyAlignment="1">
      <alignment horizontal="right" vertical="top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49" fontId="50" fillId="0" borderId="1" xfId="0" applyNumberFormat="1" applyFont="1" applyBorder="1" applyAlignment="1">
      <alignment horizontal="center" vertical="center" wrapText="1"/>
    </xf>
    <xf numFmtId="0" fontId="50" fillId="0" borderId="0" xfId="0" applyFont="1" applyAlignment="1">
      <alignment horizontal="center"/>
    </xf>
    <xf numFmtId="0" fontId="53" fillId="0" borderId="3" xfId="12" applyNumberFormat="1" applyFont="1" applyFill="1" applyBorder="1" applyAlignment="1">
      <alignment vertical="center" wrapText="1"/>
    </xf>
    <xf numFmtId="0" fontId="50" fillId="0" borderId="1" xfId="0" applyFont="1" applyBorder="1" applyAlignment="1">
      <alignment horizontal="center" wrapText="1"/>
    </xf>
    <xf numFmtId="49" fontId="56" fillId="0" borderId="1" xfId="0" applyNumberFormat="1" applyFont="1" applyBorder="1" applyAlignment="1">
      <alignment horizontal="center" vertical="center" wrapText="1"/>
    </xf>
    <xf numFmtId="166" fontId="50" fillId="0" borderId="0" xfId="0" applyNumberFormat="1" applyFont="1">
      <alignment wrapText="1"/>
    </xf>
    <xf numFmtId="14" fontId="53" fillId="0" borderId="3" xfId="12" applyNumberFormat="1" applyFont="1" applyFill="1" applyBorder="1" applyAlignment="1">
      <alignment horizontal="center" vertical="center" wrapText="1"/>
    </xf>
    <xf numFmtId="0" fontId="53" fillId="0" borderId="8" xfId="12" applyNumberFormat="1" applyFont="1" applyFill="1" applyBorder="1" applyAlignment="1">
      <alignment vertical="center" wrapText="1"/>
    </xf>
    <xf numFmtId="0" fontId="50" fillId="0" borderId="0" xfId="207" applyFont="1" applyAlignment="1">
      <alignment horizontal="left"/>
    </xf>
    <xf numFmtId="0" fontId="50" fillId="0" borderId="0" xfId="207" applyFont="1"/>
    <xf numFmtId="0" fontId="50" fillId="0" borderId="0" xfId="207" applyFont="1" applyAlignment="1">
      <alignment horizontal="center"/>
    </xf>
    <xf numFmtId="0" fontId="56" fillId="0" borderId="0" xfId="207" applyFont="1" applyAlignment="1">
      <alignment horizontal="center"/>
    </xf>
    <xf numFmtId="0" fontId="56" fillId="0" borderId="1" xfId="208" applyFont="1" applyBorder="1" applyAlignment="1">
      <alignment horizontal="left" vertical="center" wrapText="1"/>
    </xf>
    <xf numFmtId="166" fontId="56" fillId="0" borderId="1" xfId="207" applyNumberFormat="1" applyFont="1" applyBorder="1" applyAlignment="1">
      <alignment horizontal="center" vertical="center" wrapText="1"/>
    </xf>
    <xf numFmtId="49" fontId="56" fillId="0" borderId="1" xfId="207" applyNumberFormat="1" applyFont="1" applyFill="1" applyBorder="1" applyAlignment="1">
      <alignment horizontal="center" vertical="center" wrapText="1"/>
    </xf>
    <xf numFmtId="0" fontId="56" fillId="0" borderId="0" xfId="207" applyFont="1"/>
    <xf numFmtId="0" fontId="50" fillId="0" borderId="1" xfId="209" applyFont="1" applyBorder="1" applyAlignment="1">
      <alignment horizontal="left" vertical="center" wrapText="1"/>
    </xf>
    <xf numFmtId="0" fontId="50" fillId="0" borderId="1" xfId="209" applyFont="1" applyBorder="1" applyAlignment="1">
      <alignment horizontal="center" vertical="center" wrapText="1"/>
    </xf>
    <xf numFmtId="49" fontId="50" fillId="0" borderId="1" xfId="207" applyNumberFormat="1" applyFont="1" applyBorder="1" applyAlignment="1">
      <alignment horizontal="center" vertical="center" wrapText="1"/>
    </xf>
    <xf numFmtId="0" fontId="50" fillId="0" borderId="1" xfId="209" applyFont="1" applyFill="1" applyBorder="1" applyAlignment="1">
      <alignment horizontal="left" vertical="center" wrapText="1"/>
    </xf>
    <xf numFmtId="0" fontId="50" fillId="0" borderId="1" xfId="208" applyFont="1" applyBorder="1" applyAlignment="1">
      <alignment horizontal="left" vertical="center" wrapText="1"/>
    </xf>
    <xf numFmtId="166" fontId="50" fillId="0" borderId="1" xfId="207" applyNumberFormat="1" applyFont="1" applyFill="1" applyBorder="1" applyAlignment="1">
      <alignment horizontal="center" vertical="center" wrapText="1"/>
    </xf>
    <xf numFmtId="0" fontId="56" fillId="0" borderId="1" xfId="207" applyFont="1" applyBorder="1" applyAlignment="1">
      <alignment horizontal="left" vertical="center" wrapText="1"/>
    </xf>
    <xf numFmtId="0" fontId="56" fillId="0" borderId="1" xfId="207" applyFont="1" applyBorder="1" applyAlignment="1">
      <alignment horizontal="center" vertical="center" wrapText="1"/>
    </xf>
    <xf numFmtId="49" fontId="56" fillId="0" borderId="1" xfId="207" applyNumberFormat="1" applyFont="1" applyBorder="1" applyAlignment="1">
      <alignment horizontal="center" vertical="center" wrapText="1"/>
    </xf>
    <xf numFmtId="0" fontId="50" fillId="0" borderId="0" xfId="207" applyFont="1" applyBorder="1" applyAlignment="1">
      <alignment horizontal="left" vertical="center" wrapText="1"/>
    </xf>
    <xf numFmtId="0" fontId="50" fillId="0" borderId="0" xfId="207" applyFont="1" applyBorder="1" applyAlignment="1">
      <alignment horizontal="center" vertical="center" wrapText="1"/>
    </xf>
    <xf numFmtId="166" fontId="50" fillId="0" borderId="0" xfId="207" applyNumberFormat="1" applyFont="1" applyFill="1" applyBorder="1" applyAlignment="1">
      <alignment horizontal="center" vertical="center" wrapText="1"/>
    </xf>
    <xf numFmtId="166" fontId="56" fillId="0" borderId="0" xfId="207" applyNumberFormat="1" applyFont="1" applyBorder="1" applyAlignment="1">
      <alignment horizontal="center" vertical="center" wrapText="1"/>
    </xf>
    <xf numFmtId="49" fontId="50" fillId="0" borderId="0" xfId="207" applyNumberFormat="1" applyFont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0" xfId="12" applyNumberFormat="1" applyFont="1" applyFill="1" applyAlignment="1">
      <alignment horizontal="right" vertical="top" wrapText="1"/>
    </xf>
    <xf numFmtId="0" fontId="53" fillId="0" borderId="3" xfId="12" applyNumberFormat="1" applyFont="1" applyFill="1" applyBorder="1" applyAlignment="1">
      <alignment horizontal="center" vertical="center" wrapText="1"/>
    </xf>
    <xf numFmtId="10" fontId="53" fillId="0" borderId="0" xfId="12" applyNumberFormat="1" applyFont="1" applyFill="1" applyAlignment="1">
      <alignment vertical="top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61" fillId="0" borderId="0" xfId="212" applyFont="1"/>
    <xf numFmtId="0" fontId="50" fillId="0" borderId="0" xfId="212" applyFont="1" applyAlignment="1">
      <alignment horizontal="center"/>
    </xf>
    <xf numFmtId="0" fontId="50" fillId="0" borderId="0" xfId="212" applyFont="1" applyAlignment="1">
      <alignment horizontal="right" vertical="center"/>
    </xf>
    <xf numFmtId="49" fontId="50" fillId="0" borderId="0" xfId="212" applyNumberFormat="1" applyFont="1" applyAlignment="1">
      <alignment horizontal="center" vertical="center"/>
    </xf>
    <xf numFmtId="0" fontId="50" fillId="0" borderId="0" xfId="212" applyFont="1" applyAlignment="1">
      <alignment horizontal="left" vertical="center" wrapText="1"/>
    </xf>
    <xf numFmtId="0" fontId="50" fillId="0" borderId="0" xfId="212" applyFont="1"/>
    <xf numFmtId="0" fontId="56" fillId="0" borderId="0" xfId="212" applyFont="1" applyAlignment="1">
      <alignment horizontal="center" vertical="center" wrapText="1"/>
    </xf>
    <xf numFmtId="49" fontId="56" fillId="0" borderId="1" xfId="213" applyNumberFormat="1" applyFont="1" applyBorder="1" applyAlignment="1">
      <alignment horizontal="center" vertical="center" wrapText="1"/>
    </xf>
    <xf numFmtId="0" fontId="56" fillId="0" borderId="1" xfId="213" applyFont="1" applyFill="1" applyBorder="1" applyAlignment="1">
      <alignment horizontal="center" vertical="center" wrapText="1"/>
    </xf>
    <xf numFmtId="0" fontId="56" fillId="0" borderId="12" xfId="0" applyFont="1" applyBorder="1" applyAlignment="1">
      <alignment horizontal="center" vertical="center" wrapText="1"/>
    </xf>
    <xf numFmtId="0" fontId="56" fillId="0" borderId="1" xfId="0" applyFont="1" applyBorder="1" applyAlignment="1">
      <alignment horizontal="center" vertical="center" wrapText="1"/>
    </xf>
    <xf numFmtId="49" fontId="56" fillId="0" borderId="1" xfId="214" applyNumberFormat="1" applyFont="1" applyBorder="1" applyAlignment="1">
      <alignment horizontal="center" vertical="center"/>
    </xf>
    <xf numFmtId="0" fontId="56" fillId="0" borderId="1" xfId="214" applyFont="1" applyBorder="1" applyAlignment="1">
      <alignment horizontal="justify" vertical="center" wrapText="1"/>
    </xf>
    <xf numFmtId="167" fontId="56" fillId="0" borderId="12" xfId="214" applyNumberFormat="1" applyFont="1" applyBorder="1" applyAlignment="1">
      <alignment horizontal="center" vertical="center"/>
    </xf>
    <xf numFmtId="167" fontId="56" fillId="0" borderId="1" xfId="214" applyNumberFormat="1" applyFont="1" applyBorder="1" applyAlignment="1">
      <alignment horizontal="center" vertical="center"/>
    </xf>
    <xf numFmtId="49" fontId="50" fillId="0" borderId="1" xfId="214" applyNumberFormat="1" applyFont="1" applyBorder="1" applyAlignment="1">
      <alignment horizontal="center" vertical="center"/>
    </xf>
    <xf numFmtId="0" fontId="50" fillId="0" borderId="1" xfId="214" applyFont="1" applyBorder="1" applyAlignment="1">
      <alignment horizontal="justify" vertical="center" wrapText="1"/>
    </xf>
    <xf numFmtId="167" fontId="50" fillId="0" borderId="12" xfId="214" applyNumberFormat="1" applyFont="1" applyBorder="1" applyAlignment="1">
      <alignment horizontal="center" vertical="center"/>
    </xf>
    <xf numFmtId="167" fontId="50" fillId="0" borderId="1" xfId="214" applyNumberFormat="1" applyFont="1" applyBorder="1" applyAlignment="1">
      <alignment horizontal="center" vertical="center"/>
    </xf>
    <xf numFmtId="0" fontId="50" fillId="0" borderId="1" xfId="214" applyFont="1" applyBorder="1" applyAlignment="1">
      <alignment horizontal="justify" vertical="top" wrapText="1"/>
    </xf>
    <xf numFmtId="0" fontId="50" fillId="0" borderId="1" xfId="214" applyFont="1" applyBorder="1" applyAlignment="1">
      <alignment horizontal="left" vertical="top" wrapText="1"/>
    </xf>
    <xf numFmtId="167" fontId="50" fillId="0" borderId="12" xfId="0" applyNumberFormat="1" applyFont="1" applyBorder="1" applyAlignment="1">
      <alignment horizontal="center" vertical="center"/>
    </xf>
    <xf numFmtId="167" fontId="50" fillId="0" borderId="1" xfId="0" applyNumberFormat="1" applyFont="1" applyBorder="1" applyAlignment="1">
      <alignment horizontal="center" vertical="center"/>
    </xf>
    <xf numFmtId="167" fontId="56" fillId="0" borderId="12" xfId="0" applyNumberFormat="1" applyFont="1" applyBorder="1" applyAlignment="1">
      <alignment horizontal="center" vertical="center"/>
    </xf>
    <xf numFmtId="167" fontId="56" fillId="0" borderId="1" xfId="0" applyNumberFormat="1" applyFont="1" applyBorder="1" applyAlignment="1">
      <alignment horizontal="center" vertical="center"/>
    </xf>
    <xf numFmtId="0" fontId="62" fillId="0" borderId="0" xfId="212" applyFont="1"/>
    <xf numFmtId="167" fontId="50" fillId="0" borderId="16" xfId="51" applyNumberFormat="1" applyFont="1" applyBorder="1" applyAlignment="1">
      <alignment horizontal="center" vertical="center" wrapText="1"/>
    </xf>
    <xf numFmtId="167" fontId="50" fillId="0" borderId="1" xfId="51" applyNumberFormat="1" applyFont="1" applyBorder="1" applyAlignment="1">
      <alignment horizontal="center" vertical="center" wrapText="1"/>
    </xf>
    <xf numFmtId="167" fontId="50" fillId="0" borderId="12" xfId="214" applyNumberFormat="1" applyFont="1" applyBorder="1" applyAlignment="1">
      <alignment horizontal="center" vertical="center" wrapText="1"/>
    </xf>
    <xf numFmtId="167" fontId="50" fillId="0" borderId="1" xfId="214" applyNumberFormat="1" applyFont="1" applyBorder="1" applyAlignment="1">
      <alignment horizontal="center" vertical="center" wrapText="1"/>
    </xf>
    <xf numFmtId="167" fontId="56" fillId="0" borderId="1" xfId="214" applyNumberFormat="1" applyFont="1" applyFill="1" applyBorder="1" applyAlignment="1">
      <alignment horizontal="center" vertical="center"/>
    </xf>
    <xf numFmtId="0" fontId="50" fillId="0" borderId="1" xfId="214" applyFont="1" applyBorder="1" applyAlignment="1">
      <alignment horizontal="center" vertical="center"/>
    </xf>
    <xf numFmtId="0" fontId="50" fillId="0" borderId="1" xfId="214" applyFont="1" applyBorder="1" applyAlignment="1">
      <alignment horizontal="left" vertical="center" wrapText="1"/>
    </xf>
    <xf numFmtId="0" fontId="50" fillId="0" borderId="1" xfId="214" applyFont="1" applyBorder="1" applyAlignment="1">
      <alignment horizontal="left" wrapText="1"/>
    </xf>
    <xf numFmtId="0" fontId="56" fillId="0" borderId="1" xfId="214" applyFont="1" applyBorder="1" applyAlignment="1">
      <alignment horizontal="center" vertical="center"/>
    </xf>
    <xf numFmtId="0" fontId="56" fillId="0" borderId="1" xfId="214" applyFont="1" applyBorder="1" applyAlignment="1">
      <alignment horizontal="left" wrapText="1"/>
    </xf>
    <xf numFmtId="0" fontId="56" fillId="0" borderId="1" xfId="214" applyFont="1" applyBorder="1" applyAlignment="1">
      <alignment horizontal="justify" vertical="top" wrapText="1"/>
    </xf>
    <xf numFmtId="49" fontId="50" fillId="0" borderId="1" xfId="214" applyNumberFormat="1" applyFont="1" applyBorder="1" applyAlignment="1">
      <alignment horizontal="center" vertical="center" wrapText="1"/>
    </xf>
    <xf numFmtId="0" fontId="56" fillId="0" borderId="1" xfId="215" applyFont="1" applyBorder="1" applyAlignment="1">
      <alignment horizontal="center" vertical="center"/>
    </xf>
    <xf numFmtId="0" fontId="56" fillId="0" borderId="1" xfId="215" applyFont="1" applyBorder="1" applyAlignment="1">
      <alignment horizontal="justify" vertical="center" wrapText="1"/>
    </xf>
    <xf numFmtId="0" fontId="50" fillId="0" borderId="1" xfId="215" applyFont="1" applyBorder="1" applyAlignment="1">
      <alignment horizontal="center" vertical="center"/>
    </xf>
    <xf numFmtId="0" fontId="50" fillId="0" borderId="1" xfId="216" applyFont="1" applyBorder="1" applyAlignment="1">
      <alignment horizontal="justify" vertical="center" wrapText="1"/>
    </xf>
    <xf numFmtId="0" fontId="56" fillId="0" borderId="1" xfId="216" applyFont="1" applyBorder="1" applyAlignment="1">
      <alignment horizontal="center" vertical="center"/>
    </xf>
    <xf numFmtId="0" fontId="56" fillId="0" borderId="1" xfId="216" applyFont="1" applyBorder="1" applyAlignment="1">
      <alignment horizontal="justify" vertical="center" wrapText="1"/>
    </xf>
    <xf numFmtId="0" fontId="50" fillId="0" borderId="1" xfId="216" applyFont="1" applyBorder="1" applyAlignment="1">
      <alignment horizontal="center" vertical="center"/>
    </xf>
    <xf numFmtId="0" fontId="50" fillId="0" borderId="1" xfId="214" applyFont="1" applyBorder="1" applyAlignment="1">
      <alignment horizontal="center" vertical="center" wrapText="1"/>
    </xf>
    <xf numFmtId="0" fontId="50" fillId="0" borderId="1" xfId="216" applyFont="1" applyBorder="1" applyAlignment="1">
      <alignment horizontal="left" vertical="top" wrapText="1"/>
    </xf>
    <xf numFmtId="0" fontId="50" fillId="0" borderId="1" xfId="217" applyFont="1" applyBorder="1" applyAlignment="1">
      <alignment horizontal="center" vertical="center" wrapText="1"/>
    </xf>
    <xf numFmtId="0" fontId="50" fillId="0" borderId="1" xfId="217" applyFont="1" applyBorder="1" applyAlignment="1">
      <alignment horizontal="justify" vertical="center" wrapText="1"/>
    </xf>
    <xf numFmtId="0" fontId="50" fillId="0" borderId="1" xfId="218" applyFont="1" applyBorder="1" applyAlignment="1">
      <alignment horizontal="center" vertical="center" wrapText="1"/>
    </xf>
    <xf numFmtId="0" fontId="50" fillId="0" borderId="1" xfId="218" applyFont="1" applyBorder="1" applyAlignment="1">
      <alignment horizontal="justify" vertical="center" wrapText="1"/>
    </xf>
    <xf numFmtId="49" fontId="50" fillId="0" borderId="1" xfId="219" applyNumberFormat="1" applyFont="1" applyBorder="1" applyAlignment="1">
      <alignment horizontal="center" vertical="center"/>
    </xf>
    <xf numFmtId="0" fontId="50" fillId="0" borderId="1" xfId="219" applyFont="1" applyBorder="1" applyAlignment="1">
      <alignment horizontal="justify" vertical="center" wrapText="1"/>
    </xf>
    <xf numFmtId="49" fontId="50" fillId="0" borderId="1" xfId="216" applyNumberFormat="1" applyFont="1" applyBorder="1" applyAlignment="1">
      <alignment horizontal="center" vertical="center"/>
    </xf>
    <xf numFmtId="0" fontId="50" fillId="0" borderId="1" xfId="0" applyFont="1" applyBorder="1" applyAlignment="1">
      <alignment horizontal="justify" vertical="center" wrapText="1"/>
    </xf>
    <xf numFmtId="49" fontId="50" fillId="0" borderId="1" xfId="220" applyNumberFormat="1" applyFont="1" applyBorder="1" applyAlignment="1">
      <alignment horizontal="center" vertical="center" wrapText="1"/>
    </xf>
    <xf numFmtId="0" fontId="50" fillId="0" borderId="1" xfId="221" applyFont="1" applyBorder="1" applyAlignment="1">
      <alignment horizontal="justify" vertical="center" wrapText="1"/>
    </xf>
    <xf numFmtId="49" fontId="50" fillId="0" borderId="1" xfId="222" applyNumberFormat="1" applyFont="1" applyBorder="1" applyAlignment="1">
      <alignment horizontal="center" vertical="center" wrapText="1"/>
    </xf>
    <xf numFmtId="0" fontId="50" fillId="0" borderId="1" xfId="223" applyFont="1" applyBorder="1" applyAlignment="1">
      <alignment horizontal="justify" vertical="center" wrapText="1"/>
    </xf>
    <xf numFmtId="167" fontId="50" fillId="0" borderId="12" xfId="224" applyNumberFormat="1" applyFont="1" applyBorder="1" applyAlignment="1">
      <alignment horizontal="center" vertical="center"/>
    </xf>
    <xf numFmtId="167" fontId="50" fillId="0" borderId="1" xfId="224" applyNumberFormat="1" applyFont="1" applyBorder="1" applyAlignment="1">
      <alignment horizontal="center" vertical="center"/>
    </xf>
    <xf numFmtId="0" fontId="61" fillId="0" borderId="1" xfId="223" applyFont="1" applyBorder="1" applyAlignment="1">
      <alignment horizontal="center" vertical="center"/>
    </xf>
    <xf numFmtId="0" fontId="53" fillId="0" borderId="1" xfId="0" applyFont="1" applyBorder="1" applyAlignment="1">
      <alignment horizontal="justify" vertical="center" wrapText="1"/>
    </xf>
    <xf numFmtId="49" fontId="50" fillId="0" borderId="1" xfId="225" applyNumberFormat="1" applyFont="1" applyBorder="1" applyAlignment="1">
      <alignment horizontal="center" vertical="center" wrapText="1"/>
    </xf>
    <xf numFmtId="0" fontId="50" fillId="0" borderId="1" xfId="226" applyFont="1" applyBorder="1" applyAlignment="1">
      <alignment horizontal="justify" vertical="center" wrapText="1"/>
    </xf>
    <xf numFmtId="49" fontId="56" fillId="0" borderId="1" xfId="223" applyNumberFormat="1" applyFont="1" applyBorder="1" applyAlignment="1">
      <alignment horizontal="center" vertical="center"/>
    </xf>
    <xf numFmtId="0" fontId="56" fillId="0" borderId="1" xfId="223" applyFont="1" applyBorder="1" applyAlignment="1">
      <alignment horizontal="justify" vertical="center" wrapText="1"/>
    </xf>
    <xf numFmtId="0" fontId="61" fillId="0" borderId="0" xfId="212" applyFont="1" applyAlignment="1">
      <alignment wrapText="1"/>
    </xf>
    <xf numFmtId="0" fontId="50" fillId="0" borderId="1" xfId="222" applyFont="1" applyBorder="1" applyAlignment="1">
      <alignment horizontal="center" vertical="center"/>
    </xf>
    <xf numFmtId="0" fontId="50" fillId="0" borderId="1" xfId="222" applyFont="1" applyBorder="1" applyAlignment="1">
      <alignment vertical="center" wrapText="1"/>
    </xf>
    <xf numFmtId="49" fontId="50" fillId="0" borderId="1" xfId="218" applyNumberFormat="1" applyFont="1" applyBorder="1" applyAlignment="1">
      <alignment horizontal="center" vertical="center"/>
    </xf>
    <xf numFmtId="49" fontId="50" fillId="0" borderId="1" xfId="227" applyNumberFormat="1" applyFont="1" applyBorder="1" applyAlignment="1">
      <alignment horizontal="center" vertical="center"/>
    </xf>
    <xf numFmtId="0" fontId="50" fillId="0" borderId="1" xfId="227" applyFont="1" applyBorder="1" applyAlignment="1">
      <alignment horizontal="justify" vertical="center" wrapText="1"/>
    </xf>
    <xf numFmtId="0" fontId="56" fillId="0" borderId="1" xfId="222" applyFont="1" applyBorder="1" applyAlignment="1">
      <alignment horizontal="center"/>
    </xf>
    <xf numFmtId="0" fontId="56" fillId="0" borderId="1" xfId="222" applyFont="1" applyBorder="1" applyAlignment="1">
      <alignment vertical="center" wrapText="1"/>
    </xf>
    <xf numFmtId="167" fontId="56" fillId="0" borderId="1" xfId="212" applyNumberFormat="1" applyFont="1" applyBorder="1" applyAlignment="1">
      <alignment horizontal="center" vertical="center"/>
    </xf>
    <xf numFmtId="0" fontId="50" fillId="0" borderId="1" xfId="222" applyFont="1" applyBorder="1" applyAlignment="1">
      <alignment horizontal="center"/>
    </xf>
    <xf numFmtId="167" fontId="50" fillId="0" borderId="1" xfId="212" applyNumberFormat="1" applyFont="1" applyBorder="1" applyAlignment="1">
      <alignment horizontal="center" vertical="center"/>
    </xf>
    <xf numFmtId="167" fontId="50" fillId="0" borderId="10" xfId="212" applyNumberFormat="1" applyFont="1" applyBorder="1" applyAlignment="1">
      <alignment horizontal="center" vertical="center"/>
    </xf>
    <xf numFmtId="49" fontId="56" fillId="0" borderId="1" xfId="212" applyNumberFormat="1" applyFont="1" applyBorder="1" applyAlignment="1">
      <alignment horizontal="center" vertical="center"/>
    </xf>
    <xf numFmtId="0" fontId="56" fillId="0" borderId="1" xfId="212" applyFont="1" applyBorder="1" applyAlignment="1">
      <alignment horizontal="left" vertical="center" wrapText="1"/>
    </xf>
    <xf numFmtId="0" fontId="56" fillId="0" borderId="1" xfId="214" applyFont="1" applyBorder="1" applyAlignment="1">
      <alignment horizontal="left" vertical="center" wrapText="1"/>
    </xf>
    <xf numFmtId="0" fontId="50" fillId="0" borderId="0" xfId="212" applyFont="1" applyAlignment="1">
      <alignment vertical="center"/>
    </xf>
    <xf numFmtId="0" fontId="50" fillId="0" borderId="0" xfId="231" applyFont="1" applyFill="1" applyAlignment="1">
      <alignment horizontal="center" vertical="center" wrapText="1"/>
    </xf>
    <xf numFmtId="0" fontId="50" fillId="0" borderId="0" xfId="231" applyFont="1" applyFill="1" applyAlignment="1"/>
    <xf numFmtId="0" fontId="56" fillId="0" borderId="1" xfId="231" applyFont="1" applyFill="1" applyBorder="1" applyAlignment="1">
      <alignment horizontal="center" vertical="center" wrapText="1"/>
    </xf>
    <xf numFmtId="0" fontId="56" fillId="0" borderId="0" xfId="231" applyFont="1" applyFill="1" applyAlignment="1"/>
    <xf numFmtId="0" fontId="50" fillId="0" borderId="1" xfId="231" applyFont="1" applyFill="1" applyBorder="1" applyAlignment="1">
      <alignment horizontal="left" vertical="center" wrapText="1"/>
    </xf>
    <xf numFmtId="2" fontId="50" fillId="0" borderId="1" xfId="231" applyNumberFormat="1" applyFont="1" applyFill="1" applyBorder="1" applyAlignment="1">
      <alignment horizontal="center" vertical="center" shrinkToFit="1"/>
    </xf>
    <xf numFmtId="0" fontId="50" fillId="0" borderId="1" xfId="231" applyFont="1" applyFill="1" applyBorder="1" applyAlignment="1">
      <alignment horizontal="center" vertical="center" wrapText="1"/>
    </xf>
    <xf numFmtId="0" fontId="59" fillId="0" borderId="1" xfId="231" applyFont="1" applyFill="1" applyBorder="1" applyAlignment="1">
      <alignment horizontal="center" vertical="center" wrapText="1"/>
    </xf>
    <xf numFmtId="0" fontId="50" fillId="0" borderId="1" xfId="231" applyFont="1" applyFill="1" applyBorder="1" applyAlignment="1">
      <alignment horizontal="justify" vertical="center" wrapText="1"/>
    </xf>
    <xf numFmtId="167" fontId="50" fillId="0" borderId="1" xfId="231" applyNumberFormat="1" applyFont="1" applyFill="1" applyBorder="1" applyAlignment="1">
      <alignment horizontal="center" vertical="center" shrinkToFit="1"/>
    </xf>
    <xf numFmtId="0" fontId="63" fillId="0" borderId="1" xfId="231" applyFont="1" applyFill="1" applyBorder="1" applyAlignment="1">
      <alignment horizontal="center" vertical="center" wrapText="1"/>
    </xf>
    <xf numFmtId="0" fontId="64" fillId="0" borderId="0" xfId="228" applyFont="1" applyFill="1"/>
    <xf numFmtId="0" fontId="50" fillId="0" borderId="1" xfId="231" applyNumberFormat="1" applyFont="1" applyFill="1" applyBorder="1" applyAlignment="1" applyProtection="1">
      <alignment horizontal="justify" vertical="center" wrapText="1"/>
    </xf>
    <xf numFmtId="0" fontId="59" fillId="0" borderId="0" xfId="231" applyFont="1" applyFill="1" applyAlignment="1"/>
    <xf numFmtId="0" fontId="50" fillId="0" borderId="1" xfId="213" applyNumberFormat="1" applyFont="1" applyFill="1" applyBorder="1" applyAlignment="1" applyProtection="1">
      <alignment horizontal="justify" vertical="center" wrapText="1"/>
    </xf>
    <xf numFmtId="0" fontId="50" fillId="0" borderId="1" xfId="213" applyNumberFormat="1" applyFont="1" applyFill="1" applyBorder="1" applyAlignment="1" applyProtection="1">
      <alignment horizontal="center" vertical="center"/>
    </xf>
    <xf numFmtId="167" fontId="50" fillId="0" borderId="1" xfId="231" applyNumberFormat="1" applyFont="1" applyFill="1" applyBorder="1" applyAlignment="1">
      <alignment horizontal="center" vertical="center" wrapText="1"/>
    </xf>
    <xf numFmtId="49" fontId="50" fillId="0" borderId="1" xfId="232" applyNumberFormat="1" applyFont="1" applyFill="1" applyBorder="1" applyAlignment="1">
      <alignment horizontal="center" vertical="center" wrapText="1"/>
    </xf>
    <xf numFmtId="0" fontId="50" fillId="0" borderId="1" xfId="232" applyNumberFormat="1" applyFont="1" applyFill="1" applyBorder="1" applyAlignment="1" applyProtection="1">
      <alignment horizontal="justify" vertical="center" wrapText="1"/>
    </xf>
    <xf numFmtId="49" fontId="50" fillId="0" borderId="1" xfId="213" applyNumberFormat="1" applyFont="1" applyFill="1" applyBorder="1" applyAlignment="1">
      <alignment horizontal="center" vertical="center"/>
    </xf>
    <xf numFmtId="49" fontId="50" fillId="0" borderId="1" xfId="231" applyNumberFormat="1" applyFont="1" applyFill="1" applyBorder="1" applyAlignment="1">
      <alignment horizontal="center" vertical="center" shrinkToFit="1"/>
    </xf>
    <xf numFmtId="49" fontId="50" fillId="0" borderId="1" xfId="231" applyNumberFormat="1" applyFont="1" applyFill="1" applyBorder="1" applyAlignment="1">
      <alignment horizontal="justify" vertical="center" wrapText="1"/>
    </xf>
    <xf numFmtId="4" fontId="56" fillId="0" borderId="0" xfId="231" applyNumberFormat="1" applyFont="1" applyFill="1" applyAlignment="1"/>
    <xf numFmtId="49" fontId="56" fillId="0" borderId="1" xfId="231" applyNumberFormat="1" applyFont="1" applyFill="1" applyBorder="1" applyAlignment="1">
      <alignment horizontal="center" vertical="center" shrinkToFit="1"/>
    </xf>
    <xf numFmtId="49" fontId="63" fillId="0" borderId="1" xfId="231" applyNumberFormat="1" applyFont="1" applyFill="1" applyBorder="1" applyAlignment="1">
      <alignment horizontal="center" vertical="center" shrinkToFit="1"/>
    </xf>
    <xf numFmtId="167" fontId="50" fillId="0" borderId="1" xfId="213" applyNumberFormat="1" applyFont="1" applyFill="1" applyBorder="1" applyAlignment="1">
      <alignment horizontal="center" vertical="center"/>
    </xf>
    <xf numFmtId="4" fontId="50" fillId="0" borderId="0" xfId="231" applyNumberFormat="1" applyFont="1" applyFill="1" applyAlignment="1"/>
    <xf numFmtId="49" fontId="59" fillId="0" borderId="1" xfId="231" applyNumberFormat="1" applyFont="1" applyFill="1" applyBorder="1" applyAlignment="1">
      <alignment horizontal="center" vertical="center" shrinkToFit="1"/>
    </xf>
    <xf numFmtId="167" fontId="50" fillId="0" borderId="0" xfId="231" applyNumberFormat="1" applyFont="1" applyFill="1" applyAlignment="1"/>
    <xf numFmtId="0" fontId="63" fillId="0" borderId="1" xfId="231" applyFont="1" applyFill="1" applyBorder="1" applyAlignment="1">
      <alignment horizontal="justify" vertical="center" wrapText="1"/>
    </xf>
    <xf numFmtId="0" fontId="50" fillId="0" borderId="0" xfId="231" applyFont="1" applyFill="1" applyAlignment="1">
      <alignment horizontal="center" vertical="center"/>
    </xf>
    <xf numFmtId="0" fontId="63" fillId="0" borderId="0" xfId="231" applyFont="1" applyFill="1" applyAlignment="1"/>
    <xf numFmtId="167" fontId="63" fillId="0" borderId="0" xfId="231" applyNumberFormat="1" applyFont="1" applyFill="1" applyAlignment="1"/>
    <xf numFmtId="0" fontId="59" fillId="0" borderId="11" xfId="231" applyFont="1" applyFill="1" applyBorder="1" applyAlignment="1">
      <alignment horizontal="center" vertical="center" wrapText="1"/>
    </xf>
    <xf numFmtId="0" fontId="59" fillId="0" borderId="10" xfId="231" applyFont="1" applyFill="1" applyBorder="1" applyAlignment="1">
      <alignment horizontal="center" vertical="center" wrapText="1"/>
    </xf>
    <xf numFmtId="49" fontId="50" fillId="0" borderId="10" xfId="231" applyNumberFormat="1" applyFont="1" applyFill="1" applyBorder="1" applyAlignment="1">
      <alignment horizontal="justify" vertical="center" wrapText="1"/>
    </xf>
    <xf numFmtId="49" fontId="50" fillId="0" borderId="11" xfId="231" applyNumberFormat="1" applyFont="1" applyFill="1" applyBorder="1" applyAlignment="1">
      <alignment horizontal="justify" vertical="center" wrapText="1"/>
    </xf>
    <xf numFmtId="49" fontId="50" fillId="0" borderId="10" xfId="231" applyNumberFormat="1" applyFont="1" applyFill="1" applyBorder="1" applyAlignment="1">
      <alignment horizontal="center" vertical="center" shrinkToFit="1"/>
    </xf>
    <xf numFmtId="49" fontId="50" fillId="0" borderId="11" xfId="231" applyNumberFormat="1" applyFont="1" applyFill="1" applyBorder="1" applyAlignment="1">
      <alignment horizontal="center" vertical="center" shrinkToFit="1"/>
    </xf>
    <xf numFmtId="167" fontId="50" fillId="0" borderId="10" xfId="231" applyNumberFormat="1" applyFont="1" applyFill="1" applyBorder="1" applyAlignment="1">
      <alignment horizontal="center" vertical="center" shrinkToFit="1"/>
    </xf>
    <xf numFmtId="167" fontId="50" fillId="0" borderId="11" xfId="231" applyNumberFormat="1" applyFont="1" applyFill="1" applyBorder="1" applyAlignment="1">
      <alignment horizontal="center" vertical="center" shrinkToFi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1" xfId="207" applyFont="1" applyBorder="1" applyAlignment="1">
      <alignment horizontal="center" vertical="center" wrapText="1"/>
    </xf>
    <xf numFmtId="0" fontId="50" fillId="0" borderId="1" xfId="211" applyFont="1" applyBorder="1" applyAlignment="1">
      <alignment horizontal="center" vertical="center" wrapText="1"/>
    </xf>
    <xf numFmtId="0" fontId="56" fillId="0" borderId="1" xfId="211" applyFont="1" applyBorder="1" applyAlignment="1">
      <alignment horizontal="center" vertical="center" wrapText="1"/>
    </xf>
    <xf numFmtId="0" fontId="56" fillId="0" borderId="1" xfId="207" applyFont="1" applyFill="1" applyBorder="1" applyAlignment="1">
      <alignment horizontal="center" vertical="center" wrapText="1"/>
    </xf>
    <xf numFmtId="166" fontId="50" fillId="0" borderId="1" xfId="207" applyNumberFormat="1" applyFont="1" applyBorder="1" applyAlignment="1">
      <alignment horizontal="center" vertical="center" wrapText="1"/>
    </xf>
    <xf numFmtId="0" fontId="50" fillId="0" borderId="1" xfId="209" applyFont="1" applyFill="1" applyBorder="1" applyAlignment="1">
      <alignment vertical="center" wrapText="1"/>
    </xf>
    <xf numFmtId="0" fontId="50" fillId="0" borderId="1" xfId="209" applyFont="1" applyFill="1" applyBorder="1" applyAlignment="1">
      <alignment horizontal="center" vertical="center" wrapText="1"/>
    </xf>
    <xf numFmtId="0" fontId="50" fillId="0" borderId="1" xfId="208" applyFont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0" fillId="0" borderId="0" xfId="0" applyFont="1" applyAlignment="1">
      <alignment horizontal="right"/>
    </xf>
    <xf numFmtId="49" fontId="56" fillId="0" borderId="1" xfId="0" applyNumberFormat="1" applyFont="1" applyBorder="1" applyAlignment="1">
      <alignment horizontal="center" vertical="center"/>
    </xf>
    <xf numFmtId="0" fontId="56" fillId="0" borderId="0" xfId="0" applyFont="1" applyAlignment="1">
      <alignment horizontal="center" wrapText="1"/>
    </xf>
    <xf numFmtId="49" fontId="50" fillId="0" borderId="1" xfId="0" applyNumberFormat="1" applyFont="1" applyBorder="1" applyAlignment="1">
      <alignment horizontal="center" vertical="center" wrapText="1"/>
    </xf>
    <xf numFmtId="0" fontId="50" fillId="0" borderId="1" xfId="0" applyFont="1" applyBorder="1" applyAlignment="1">
      <alignment horizontal="center" vertical="center" wrapText="1"/>
    </xf>
    <xf numFmtId="0" fontId="50" fillId="0" borderId="11" xfId="0" applyFont="1" applyBorder="1" applyAlignment="1">
      <alignment horizontal="center" vertical="center" wrapText="1"/>
    </xf>
    <xf numFmtId="0" fontId="50" fillId="0" borderId="10" xfId="0" applyFont="1" applyBorder="1" applyAlignment="1">
      <alignment horizontal="center" vertical="center" wrapText="1"/>
    </xf>
    <xf numFmtId="0" fontId="50" fillId="0" borderId="11" xfId="0" applyFont="1" applyFill="1" applyBorder="1" applyAlignment="1">
      <alignment horizontal="center" vertical="center" wrapText="1"/>
    </xf>
    <xf numFmtId="0" fontId="50" fillId="0" borderId="10" xfId="0" applyFont="1" applyFill="1" applyBorder="1" applyAlignment="1">
      <alignment horizontal="center" vertical="center" wrapText="1"/>
    </xf>
    <xf numFmtId="49" fontId="56" fillId="0" borderId="12" xfId="0" applyNumberFormat="1" applyFont="1" applyBorder="1" applyAlignment="1">
      <alignment horizontal="left" vertical="center"/>
    </xf>
    <xf numFmtId="49" fontId="56" fillId="0" borderId="13" xfId="0" applyNumberFormat="1" applyFont="1" applyBorder="1" applyAlignment="1">
      <alignment horizontal="left" vertical="center"/>
    </xf>
    <xf numFmtId="49" fontId="56" fillId="0" borderId="2" xfId="0" applyNumberFormat="1" applyFont="1" applyBorder="1" applyAlignment="1">
      <alignment horizontal="left" vertical="center"/>
    </xf>
    <xf numFmtId="0" fontId="50" fillId="0" borderId="12" xfId="0" applyFont="1" applyBorder="1" applyAlignment="1">
      <alignment horizontal="center" vertical="center" wrapText="1"/>
    </xf>
    <xf numFmtId="0" fontId="50" fillId="0" borderId="2" xfId="0" applyFont="1" applyBorder="1" applyAlignment="1">
      <alignment horizontal="center" vertical="center" wrapText="1"/>
    </xf>
    <xf numFmtId="0" fontId="50" fillId="0" borderId="0" xfId="212" applyFont="1" applyAlignment="1">
      <alignment horizontal="right" vertical="center" wrapText="1"/>
    </xf>
    <xf numFmtId="0" fontId="50" fillId="0" borderId="0" xfId="212" applyFont="1" applyAlignment="1">
      <alignment horizontal="right" vertical="center"/>
    </xf>
    <xf numFmtId="0" fontId="56" fillId="0" borderId="0" xfId="212" applyFont="1" applyAlignment="1">
      <alignment horizontal="center" vertical="center" wrapText="1"/>
    </xf>
    <xf numFmtId="0" fontId="50" fillId="0" borderId="0" xfId="231" applyFont="1" applyFill="1" applyAlignment="1">
      <alignment horizontal="right"/>
    </xf>
    <xf numFmtId="0" fontId="56" fillId="0" borderId="0" xfId="231" applyFont="1" applyFill="1" applyAlignment="1">
      <alignment horizontal="center" wrapText="1"/>
    </xf>
    <xf numFmtId="0" fontId="50" fillId="0" borderId="1" xfId="231" applyFont="1" applyFill="1" applyBorder="1" applyAlignment="1">
      <alignment horizontal="center" vertical="center" wrapText="1"/>
    </xf>
    <xf numFmtId="167" fontId="50" fillId="0" borderId="1" xfId="231" applyNumberFormat="1" applyFont="1" applyFill="1" applyBorder="1" applyAlignment="1">
      <alignment horizontal="center" vertical="center" wrapText="1"/>
    </xf>
    <xf numFmtId="0" fontId="56" fillId="0" borderId="1" xfId="231" applyFont="1" applyFill="1" applyBorder="1" applyAlignment="1">
      <alignment horizontal="center" vertical="top" wrapText="1"/>
    </xf>
    <xf numFmtId="0" fontId="56" fillId="0" borderId="1" xfId="231" applyFont="1" applyFill="1" applyBorder="1" applyAlignment="1">
      <alignment horizontal="center" vertical="center" wrapText="1"/>
    </xf>
    <xf numFmtId="0" fontId="53" fillId="0" borderId="6" xfId="12" applyNumberFormat="1" applyFont="1" applyFill="1" applyBorder="1" applyAlignment="1">
      <alignment horizontal="center" vertical="center" wrapText="1"/>
    </xf>
    <xf numFmtId="0" fontId="53" fillId="0" borderId="7" xfId="12" applyNumberFormat="1" applyFont="1" applyFill="1" applyBorder="1" applyAlignment="1">
      <alignment horizontal="center" vertical="center" wrapText="1"/>
    </xf>
    <xf numFmtId="0" fontId="53" fillId="0" borderId="0" xfId="12" applyNumberFormat="1" applyFont="1" applyFill="1" applyAlignment="1">
      <alignment horizontal="right" vertical="center" wrapText="1"/>
    </xf>
    <xf numFmtId="0" fontId="57" fillId="0" borderId="9" xfId="12" applyNumberFormat="1" applyFont="1" applyFill="1" applyBorder="1" applyAlignment="1">
      <alignment horizontal="center" vertical="center" wrapText="1"/>
    </xf>
    <xf numFmtId="0" fontId="53" fillId="0" borderId="0" xfId="12" applyNumberFormat="1" applyFont="1" applyFill="1" applyAlignment="1">
      <alignment horizontal="right" vertical="top" wrapText="1"/>
    </xf>
    <xf numFmtId="0" fontId="57" fillId="0" borderId="0" xfId="12" applyNumberFormat="1" applyFont="1" applyFill="1" applyAlignment="1">
      <alignment horizontal="center" vertical="center" wrapText="1"/>
    </xf>
    <xf numFmtId="0" fontId="53" fillId="0" borderId="1" xfId="12" applyNumberFormat="1" applyFont="1" applyFill="1" applyBorder="1" applyAlignment="1">
      <alignment horizontal="center" vertical="center" wrapText="1"/>
    </xf>
    <xf numFmtId="0" fontId="50" fillId="0" borderId="1" xfId="12" applyNumberFormat="1" applyFont="1" applyFill="1" applyBorder="1" applyAlignment="1">
      <alignment horizontal="left" vertical="center" wrapText="1"/>
    </xf>
    <xf numFmtId="0" fontId="53" fillId="0" borderId="3" xfId="12" applyNumberFormat="1" applyFont="1" applyFill="1" applyBorder="1" applyAlignment="1">
      <alignment horizontal="center" vertical="center" wrapText="1"/>
    </xf>
    <xf numFmtId="0" fontId="53" fillId="0" borderId="3" xfId="12" applyNumberFormat="1" applyFont="1" applyFill="1" applyBorder="1" applyAlignment="1">
      <alignment horizontal="left" vertical="center" wrapText="1"/>
    </xf>
    <xf numFmtId="0" fontId="53" fillId="0" borderId="0" xfId="13" applyNumberFormat="1" applyFont="1" applyFill="1" applyAlignment="1">
      <alignment horizontal="right" vertical="center" wrapText="1"/>
    </xf>
    <xf numFmtId="0" fontId="57" fillId="0" borderId="0" xfId="13" applyNumberFormat="1" applyFont="1" applyFill="1" applyAlignment="1">
      <alignment horizontal="center" vertical="center" wrapText="1"/>
    </xf>
    <xf numFmtId="0" fontId="53" fillId="0" borderId="3" xfId="13" applyNumberFormat="1" applyFont="1" applyFill="1" applyBorder="1" applyAlignment="1">
      <alignment horizontal="center" vertical="center" wrapText="1"/>
    </xf>
    <xf numFmtId="0" fontId="53" fillId="0" borderId="4" xfId="12" applyNumberFormat="1" applyFont="1" applyFill="1" applyBorder="1" applyAlignment="1">
      <alignment horizontal="center" vertical="center" wrapText="1"/>
    </xf>
    <xf numFmtId="0" fontId="50" fillId="0" borderId="1" xfId="0" applyFont="1" applyFill="1" applyBorder="1" applyAlignment="1">
      <alignment horizontal="center" vertical="center" wrapText="1"/>
    </xf>
    <xf numFmtId="0" fontId="50" fillId="0" borderId="1" xfId="207" applyFont="1" applyBorder="1" applyAlignment="1">
      <alignment horizontal="center" vertical="center" wrapText="1"/>
    </xf>
    <xf numFmtId="0" fontId="50" fillId="0" borderId="0" xfId="12" applyNumberFormat="1" applyFont="1" applyFill="1" applyAlignment="1">
      <alignment horizontal="right" vertical="top" wrapText="1"/>
    </xf>
    <xf numFmtId="0" fontId="50" fillId="0" borderId="1" xfId="210" applyFont="1" applyBorder="1" applyAlignment="1">
      <alignment horizontal="center" vertical="center" wrapText="1"/>
    </xf>
    <xf numFmtId="0" fontId="56" fillId="0" borderId="0" xfId="207" applyFont="1" applyAlignment="1">
      <alignment horizontal="center"/>
    </xf>
    <xf numFmtId="0" fontId="56" fillId="0" borderId="0" xfId="207" applyFont="1" applyAlignment="1">
      <alignment horizontal="center" vertical="center"/>
    </xf>
    <xf numFmtId="0" fontId="50" fillId="0" borderId="1" xfId="207" applyFont="1" applyBorder="1" applyAlignment="1">
      <alignment horizontal="left" vertical="center" wrapText="1"/>
    </xf>
  </cellXfs>
  <cellStyles count="233">
    <cellStyle name="Обычный" xfId="0" builtinId="0"/>
    <cellStyle name="Обычный 10" xfId="12"/>
    <cellStyle name="Обычный 10 2" xfId="94"/>
    <cellStyle name="Обычный 10 2 2" xfId="231"/>
    <cellStyle name="Обычный 10 6" xfId="183"/>
    <cellStyle name="Обычный 11" xfId="13"/>
    <cellStyle name="Обычный 11 2" xfId="35"/>
    <cellStyle name="Обычный 11 2 2" xfId="228"/>
    <cellStyle name="Обычный 12" xfId="24"/>
    <cellStyle name="Обычный 13" xfId="25"/>
    <cellStyle name="Обычный 13 2" xfId="22"/>
    <cellStyle name="Обычный 13 2 2" xfId="36"/>
    <cellStyle name="Обычный 13 2 2 2" xfId="63"/>
    <cellStyle name="Обычный 13 2 3" xfId="37"/>
    <cellStyle name="Обычный 13 2 4" xfId="64"/>
    <cellStyle name="Обычный 13 2 5" xfId="84"/>
    <cellStyle name="Обычный 13 3" xfId="38"/>
    <cellStyle name="Обычный 13 4" xfId="65"/>
    <cellStyle name="Обычный 14" xfId="39"/>
    <cellStyle name="Обычный 15" xfId="34"/>
    <cellStyle name="Обычный 16" xfId="127"/>
    <cellStyle name="Обычный 16 2" xfId="138"/>
    <cellStyle name="Обычный 16 2 2" xfId="141"/>
    <cellStyle name="Обычный 16 2 2 2" xfId="159"/>
    <cellStyle name="Обычный 16 2 2 2 2" xfId="162"/>
    <cellStyle name="Обычный 16 2 2 2 2 2" xfId="182"/>
    <cellStyle name="Обычный 16 2 2 2 2 2 2" xfId="209"/>
    <cellStyle name="Обычный 2" xfId="1"/>
    <cellStyle name="Обычный 2 2" xfId="11"/>
    <cellStyle name="Обычный 2 2 2" xfId="40"/>
    <cellStyle name="Обычный 2 2 3" xfId="66"/>
    <cellStyle name="Обычный 2 3" xfId="14"/>
    <cellStyle name="Обычный 2 3 2" xfId="41"/>
    <cellStyle name="Обычный 2 3 3" xfId="67"/>
    <cellStyle name="Обычный 2 4" xfId="15"/>
    <cellStyle name="Обычный 2 4 2" xfId="42"/>
    <cellStyle name="Обычный 2 4 3" xfId="68"/>
    <cellStyle name="Обычный 2 5" xfId="16"/>
    <cellStyle name="Обычный 2 5 2" xfId="43"/>
    <cellStyle name="Обычный 2 5 3" xfId="69"/>
    <cellStyle name="Обычный 2 6" xfId="17"/>
    <cellStyle name="Обычный 2 6 2" xfId="44"/>
    <cellStyle name="Обычный 2 6 3" xfId="70"/>
    <cellStyle name="Обычный 2 7" xfId="18"/>
    <cellStyle name="Обычный 2 7 2" xfId="45"/>
    <cellStyle name="Обычный 2 7 3" xfId="71"/>
    <cellStyle name="Обычный 2 8" xfId="21"/>
    <cellStyle name="Обычный 2 8 2" xfId="26"/>
    <cellStyle name="Обычный 2 8 2 2" xfId="32"/>
    <cellStyle name="Обычный 2 8 2 3" xfId="61"/>
    <cellStyle name="Обычный 2 8 2 3 2" xfId="86"/>
    <cellStyle name="Обычный 2 8 2 3 3" xfId="88"/>
    <cellStyle name="Обычный 2 8 2 3 3 2" xfId="91"/>
    <cellStyle name="Обычный 2 8 2 3 3 2 2" xfId="109"/>
    <cellStyle name="Обычный 2 8 2 3 3 2 2 2" xfId="116"/>
    <cellStyle name="Обычный 2 8 2 3 3 2 2 2 2" xfId="136"/>
    <cellStyle name="Обычный 2 8 2 3 3 2 2 2 2 2" xfId="139"/>
    <cellStyle name="Обычный 2 8 2 3 3 2 2 2 2 2 2" xfId="157"/>
    <cellStyle name="Обычный 2 8 2 3 3 2 2 2 2 2 2 2" xfId="160"/>
    <cellStyle name="Обычный 2 8 2 3 3 2 2 2 2 2 2 2 2" xfId="180"/>
    <cellStyle name="Обычный 2 8 2 3 3 2 2 2 2 2 2 2 2 2" xfId="207"/>
    <cellStyle name="Обычный 2 8 2 3 3 2 2 2 2 2 2 3" xfId="211"/>
    <cellStyle name="Обычный 2 8 2 3 3 2 2 2 3" xfId="210"/>
    <cellStyle name="Обычный 2 8 2 3 3 3" xfId="95"/>
    <cellStyle name="Обычный 2 8 2 3 3 3 2" xfId="96"/>
    <cellStyle name="Обычный 2 8 2 3 3 3 2 2" xfId="98"/>
    <cellStyle name="Обычный 2 8 2 3 3 3 2 2 2" xfId="100"/>
    <cellStyle name="Обычный 2 8 2 3 3 3 2 2 2 2" xfId="103"/>
    <cellStyle name="Обычный 2 8 2 3 3 3 2 2 2 3" xfId="106"/>
    <cellStyle name="Обычный 2 8 2 3 3 3 2 2 2 3 2" xfId="111"/>
    <cellStyle name="Обычный 2 8 2 3 3 3 2 2 2 3 2 2" xfId="113"/>
    <cellStyle name="Обычный 2 8 2 3 3 3 2 2 2 3 2 2 2" xfId="118"/>
    <cellStyle name="Обычный 2 8 2 3 3 3 2 2 2 3 2 2 2 2" xfId="121"/>
    <cellStyle name="Обычный 2 8 2 3 3 3 2 2 2 3 2 2 2 2 2" xfId="124"/>
    <cellStyle name="Обычный 2 8 2 3 3 3 2 2 2 3 2 2 2 2 2 2" xfId="213"/>
    <cellStyle name="Обычный 2 8 2 3 3 3 2 2 2 3 2 2 2 2 2 3" xfId="134"/>
    <cellStyle name="Обычный 2 8 2 3 3 3 2 2 2 3 2 2 2 2 2 3 4 3" xfId="149"/>
    <cellStyle name="Обычный 2 8 2 3 3 3 2 2 2 3 2 2 2 2 2 3 4 3 2" xfId="155"/>
    <cellStyle name="Обычный 2 8 2 3 3 3 2 2 2 3 2 2 2 2 2 3 4 3 2 2" xfId="167"/>
    <cellStyle name="Обычный 2 8 2 3 3 3 2 2 2 3 2 2 2 2 2 3 4 3 2 3" xfId="173"/>
    <cellStyle name="Обычный 2 8 2 3 3 3 2 2 2 3 2 2 2 2 2 3 4 3 2 3 2" xfId="192"/>
    <cellStyle name="Обычный 2 8 2 3 3 3 2 2 2 3 2 2 2 2 2 3 4 3 2 3 2 2" xfId="203"/>
    <cellStyle name="Обычный 2 8 2 3 3 3 2 2 2 3 2 2 2 2 2 3 4 3 2 3 2 2 2" xfId="223"/>
    <cellStyle name="Обычный 2 8 2 3 3 3 2 2 2 3 2 2 2 2 2 3 4 3 2 4" xfId="177"/>
    <cellStyle name="Обычный 2 8 2 3 3 3 2 2 2 3 2 2 2 2 2 3 4 3 2 4 2" xfId="190"/>
    <cellStyle name="Обычный 2 8 2 3 3 3 2 2 2 3 2 2 2 2 2 3 4 3 2 4 2 2" xfId="201"/>
    <cellStyle name="Обычный 2 8 2 3 3 3 2 2 2 3 2 2 2 2 2 3 4 3 2 4 2 2 2" xfId="221"/>
    <cellStyle name="Обычный 2 8 2 3 3 3 2 2 2 3 2 2 2 2 2 3 4 3 3" xfId="179"/>
    <cellStyle name="Обычный 2 8 2 3 3 3 2 2 2 3 2 2 2 2 2 3 4 3 3 2" xfId="194"/>
    <cellStyle name="Обычный 2 8 2 3 3 3 2 2 2 3 2 2 2 2 2 3 4 3 3 3" xfId="205"/>
    <cellStyle name="Обычный 2 8 2 3 3 3 2 2 2 3 2 2 2 2 2 3 4 3 3 3 2" xfId="227"/>
    <cellStyle name="Обычный 2 8 2 3 3 3 2 2 2 3 2 2 2 2 2 3 4 3 3 4" xfId="226"/>
    <cellStyle name="Обычный 2 8 2 3 3 3 2 2 2 3 2 2 2 2 3" xfId="128"/>
    <cellStyle name="Обычный 2 8 2 3 3 3 2 2 2 3 2 2 2 2 4" xfId="131"/>
    <cellStyle name="Обычный 2 8 2 3 3 3 2 2 2 3 2 2 2 2 4 2" xfId="142"/>
    <cellStyle name="Обычный 2 8 2 3 3 3 2 2 2 3 2 2 2 2 4 3" xfId="145"/>
    <cellStyle name="Обычный 2 8 2 3 3 3 2 2 2 3 2 2 2 2 4 3 2" xfId="151"/>
    <cellStyle name="Обычный 2 8 2 3 3 3 2 2 2 3 2 2 2 2 4 3 2 2" xfId="163"/>
    <cellStyle name="Обычный 2 8 2 3 3 3 2 2 2 3 2 2 2 2 4 3 2 3" xfId="169"/>
    <cellStyle name="Обычный 2 8 2 3 3 3 2 2 2 3 2 2 2 2 4 3 2 3 2" xfId="184"/>
    <cellStyle name="Обычный 2 8 2 3 3 3 2 2 2 3 2 2 2 2 4 3 2 3 2 2" xfId="195"/>
    <cellStyle name="Обычный 2 8 2 3 3 3 2 2 2 3 2 2 2 2 4 3 2 3 2 2 2" xfId="214"/>
    <cellStyle name="Обычный 2 8 2 3 3 3 2 2 2 3 2 2 2 2 4 3 2 4" xfId="175"/>
    <cellStyle name="Обычный 2 8 2 3 3 3 2 2 2 3 2 2 2 2 4 3 2 4 2" xfId="186"/>
    <cellStyle name="Обычный 2 8 2 3 3 3 2 2 2 3 2 2 2 2 4 3 2 4 2 2" xfId="197"/>
    <cellStyle name="Обычный 2 8 2 3 3 3 2 2 2 3 2 2 2 2 4 3 2 4 2 2 2" xfId="217"/>
    <cellStyle name="Обычный 2 8 2 3 3 3 2 2 2 3 2 2 2 2 4 5 3" xfId="150"/>
    <cellStyle name="Обычный 2 8 2 3 3 3 2 2 2 3 2 2 2 2 4 5 3 2" xfId="156"/>
    <cellStyle name="Обычный 2 8 2 3 3 3 2 2 2 3 2 2 2 2 4 5 3 2 2" xfId="168"/>
    <cellStyle name="Обычный 2 8 2 3 3 3 2 2 2 3 2 2 2 2 4 5 3 2 3" xfId="174"/>
    <cellStyle name="Обычный 2 8 2 3 3 3 2 2 2 3 2 2 2 2 4 5 3 2 3 2" xfId="193"/>
    <cellStyle name="Обычный 2 8 2 3 3 3 2 2 2 3 2 2 2 2 4 5 3 2 3 2 2" xfId="204"/>
    <cellStyle name="Обычный 2 8 2 3 3 3 2 2 2 3 2 2 2 2 4 5 3 2 3 2 2 2" xfId="224"/>
    <cellStyle name="Обычный 2 8 2 3 3 3 2 2 2 3 2 2 2 2 4 5 3 3" xfId="178"/>
    <cellStyle name="Обычный 2 8 2 3 3 3 2 2 2 3 2 2 2 2 4 5 3 3 2" xfId="187"/>
    <cellStyle name="Обычный 2 8 2 3 3 3 2 2 2 3 2 2 2 2 4 5 3 3 2 2" xfId="198"/>
    <cellStyle name="Обычный 2 8 2 3 3 3 2 2 2 3 2 2 2 2 4 5 3 3 2 2 2" xfId="218"/>
    <cellStyle name="Обычный 2 8 2 3 3 3 2 2 2 3 2 2 2 2 4 5 3 3 3" xfId="215"/>
    <cellStyle name="Обычный 2 8 2 3 3 3 2 2 2 3 2 2 2 2 4 5 3 4" xfId="212"/>
    <cellStyle name="Обычный 2 8 2 3 3 3 2 2 3" xfId="115"/>
    <cellStyle name="Обычный 2 8 2 3 3 3 2 2 3 2" xfId="120"/>
    <cellStyle name="Обычный 2 8 2 3 3 3 2 2 3 2 2" xfId="123"/>
    <cellStyle name="Обычный 2 8 2 3 3 3 2 2 3 2 2 2" xfId="126"/>
    <cellStyle name="Обычный 2 8 2 3 3 3 2 2 3 2 2 2 3" xfId="135"/>
    <cellStyle name="Обычный 2 8 2 3 3 3 2 2 3 2 2 2 3 4 3" xfId="148"/>
    <cellStyle name="Обычный 2 8 2 3 3 3 2 2 3 2 2 2 3 4 3 2" xfId="154"/>
    <cellStyle name="Обычный 2 8 2 3 3 3 2 2 3 2 2 2 3 4 3 2 2" xfId="166"/>
    <cellStyle name="Обычный 2 8 2 3 3 3 2 2 3 2 2 2 3 4 3 2 3" xfId="172"/>
    <cellStyle name="Обычный 2 8 2 3 3 3 2 2 3 2 2 2 3 4 3 2 3 2" xfId="191"/>
    <cellStyle name="Обычный 2 8 2 3 3 3 2 2 3 2 2 2 3 4 3 2 3 2 2" xfId="202"/>
    <cellStyle name="Обычный 2 8 2 3 3 3 2 2 3 2 2 2 3 4 3 2 3 2 2 2" xfId="222"/>
    <cellStyle name="Обычный 2 8 2 3 3 3 2 2 3 2 2 2 3 4 3 2 4" xfId="176"/>
    <cellStyle name="Обычный 2 8 2 3 3 3 2 2 3 2 2 2 3 4 3 2 4 2" xfId="189"/>
    <cellStyle name="Обычный 2 8 2 3 3 3 2 2 3 2 2 2 3 4 3 2 4 2 2" xfId="200"/>
    <cellStyle name="Обычный 2 8 2 3 3 3 2 2 3 2 2 2 3 4 3 2 4 2 2 2" xfId="220"/>
    <cellStyle name="Обычный 2 8 2 3 3 3 2 2 3 2 2 2 3 4 3 3" xfId="206"/>
    <cellStyle name="Обычный 2 8 2 3 3 3 2 2 3 2 2 2 3 4 3 3 2" xfId="225"/>
    <cellStyle name="Обычный 2 8 2 3 3 3 2 2 3 2 2 3" xfId="130"/>
    <cellStyle name="Обычный 2 8 2 3 3 3 2 2 3 2 2 4" xfId="133"/>
    <cellStyle name="Обычный 2 8 2 3 3 3 2 2 3 2 2 4 2" xfId="144"/>
    <cellStyle name="Обычный 2 8 2 3 3 3 2 2 3 2 2 4 3" xfId="147"/>
    <cellStyle name="Обычный 2 8 2 3 3 3 2 2 3 2 2 4 3 2" xfId="153"/>
    <cellStyle name="Обычный 2 8 2 3 3 3 2 2 3 2 2 4 3 2 2" xfId="165"/>
    <cellStyle name="Обычный 2 8 2 3 3 3 2 2 3 2 2 4 3 2 3" xfId="171"/>
    <cellStyle name="Обычный 2 8 2 3 3 3 2 2 3 2 2 4 3 2 3 2" xfId="188"/>
    <cellStyle name="Обычный 2 8 2 3 3 3 2 2 3 2 2 4 3 2 3 2 2" xfId="199"/>
    <cellStyle name="Обычный 2 8 2 3 3 3 2 2 3 2 2 4 3 2 3 2 2 2" xfId="219"/>
    <cellStyle name="Обычный 2 8 2 3 3 3 2 2 3 2 2 4 5 3" xfId="229"/>
    <cellStyle name="Обычный 2 8 3" xfId="27"/>
    <cellStyle name="Обычный 2 8 3 2" xfId="46"/>
    <cellStyle name="Обычный 2 8 3 3" xfId="72"/>
    <cellStyle name="Обычный 2 8 4" xfId="28"/>
    <cellStyle name="Обычный 2 8 4 2" xfId="47"/>
    <cellStyle name="Обычный 2 8 4 3" xfId="73"/>
    <cellStyle name="Обычный 2 8 5" xfId="29"/>
    <cellStyle name="Обычный 2 8 5 2" xfId="48"/>
    <cellStyle name="Обычный 2 8 5 3" xfId="74"/>
    <cellStyle name="Обычный 2 8 6" xfId="49"/>
    <cellStyle name="Обычный 2 8 6 2" xfId="75"/>
    <cellStyle name="Обычный 2 8 7" xfId="31"/>
    <cellStyle name="Обычный 2 8 7 2" xfId="33"/>
    <cellStyle name="Обычный 2 8 7 3" xfId="62"/>
    <cellStyle name="Обычный 2 8 7 3 2" xfId="87"/>
    <cellStyle name="Обычный 2 8 7 3 3" xfId="89"/>
    <cellStyle name="Обычный 2 8 7 3 3 2" xfId="92"/>
    <cellStyle name="Обычный 2 8 7 3 3 3 2 2" xfId="102"/>
    <cellStyle name="Обычный 2 8 7 3 3 3 2 2 2" xfId="105"/>
    <cellStyle name="Обычный 2 8 7 3 3 3 2 2 3" xfId="108"/>
    <cellStyle name="Обычный 2 8 7 3 3 3 2 2 4" xfId="232"/>
    <cellStyle name="Обычный 2 8 7 4" xfId="97"/>
    <cellStyle name="Обычный 2 8 7 4 2" xfId="99"/>
    <cellStyle name="Обычный 2 8 7 4 2 2" xfId="101"/>
    <cellStyle name="Обычный 2 8 7 4 2 2 2" xfId="104"/>
    <cellStyle name="Обычный 2 8 7 4 2 2 3" xfId="107"/>
    <cellStyle name="Обычный 2 8 7 4 2 2 3 2" xfId="112"/>
    <cellStyle name="Обычный 2 8 7 4 2 2 3 2 2" xfId="114"/>
    <cellStyle name="Обычный 2 8 7 4 2 2 3 2 2 2" xfId="119"/>
    <cellStyle name="Обычный 2 8 7 4 2 2 3 2 2 2 2" xfId="122"/>
    <cellStyle name="Обычный 2 8 7 4 2 2 3 2 2 2 2 2" xfId="125"/>
    <cellStyle name="Обычный 2 8 7 4 2 2 3 2 2 2 2 3" xfId="129"/>
    <cellStyle name="Обычный 2 8 7 4 2 2 3 2 2 2 2 4" xfId="132"/>
    <cellStyle name="Обычный 2 8 7 4 2 2 3 2 2 2 2 4 2" xfId="143"/>
    <cellStyle name="Обычный 2 8 7 4 2 2 3 2 2 2 2 4 3" xfId="146"/>
    <cellStyle name="Обычный 2 8 7 4 2 2 3 2 2 2 2 4 3 2" xfId="152"/>
    <cellStyle name="Обычный 2 8 7 4 2 2 3 2 2 2 2 4 3 2 2" xfId="164"/>
    <cellStyle name="Обычный 2 8 7 4 2 2 3 2 2 2 2 4 3 2 3" xfId="170"/>
    <cellStyle name="Обычный 2 8 7 4 2 2 3 2 2 2 2 4 3 2 3 2" xfId="185"/>
    <cellStyle name="Обычный 2 8 7 4 2 2 3 2 2 2 2 4 3 2 3 2 2" xfId="196"/>
    <cellStyle name="Обычный 2 8 7 4 2 2 3 2 2 2 2 4 3 2 3 2 2 2" xfId="216"/>
    <cellStyle name="Обычный 2 8 7 4 2 2 3 2 2 2 2 4 5 3" xfId="230"/>
    <cellStyle name="Обычный 2 8 8" xfId="50"/>
    <cellStyle name="Обычный 2 8 9" xfId="76"/>
    <cellStyle name="Обычный 2 9" xfId="51"/>
    <cellStyle name="Обычный 3" xfId="2"/>
    <cellStyle name="Обычный 3 2" xfId="52"/>
    <cellStyle name="Обычный 4" xfId="3"/>
    <cellStyle name="Обычный 4 2" xfId="9"/>
    <cellStyle name="Обычный 4 2 2" xfId="19"/>
    <cellStyle name="Обычный 4 2 2 2" xfId="20"/>
    <cellStyle name="Обычный 4 2 2 2 2" xfId="53"/>
    <cellStyle name="Обычный 4 2 2 2 3" xfId="77"/>
    <cellStyle name="Обычный 4 2 2 3" xfId="54"/>
    <cellStyle name="Обычный 4 2 2 4" xfId="78"/>
    <cellStyle name="Обычный 4 2 3" xfId="30"/>
    <cellStyle name="Обычный 4 2 3 2" xfId="23"/>
    <cellStyle name="Обычный 4 2 3 2 2" xfId="55"/>
    <cellStyle name="Обычный 4 2 3 2 2 2" xfId="79"/>
    <cellStyle name="Обычный 4 2 3 2 3" xfId="56"/>
    <cellStyle name="Обычный 4 2 3 2 4" xfId="80"/>
    <cellStyle name="Обычный 4 2 3 2 5" xfId="85"/>
    <cellStyle name="Обычный 4 2 3 3" xfId="57"/>
    <cellStyle name="Обычный 4 2 3 4" xfId="81"/>
    <cellStyle name="Обычный 4 2 4" xfId="58"/>
    <cellStyle name="Обычный 4 2 5" xfId="82"/>
    <cellStyle name="Обычный 4 2 6" xfId="93"/>
    <cellStyle name="Обычный 4 2 6 2" xfId="110"/>
    <cellStyle name="Обычный 4 2 6 2 2" xfId="117"/>
    <cellStyle name="Обычный 4 2 6 2 2 2" xfId="137"/>
    <cellStyle name="Обычный 4 2 6 2 2 2 2" xfId="140"/>
    <cellStyle name="Обычный 4 2 6 2 2 2 2 2" xfId="158"/>
    <cellStyle name="Обычный 4 2 6 2 2 2 2 2 2" xfId="161"/>
    <cellStyle name="Обычный 4 2 6 2 2 2 2 2 2 2" xfId="181"/>
    <cellStyle name="Обычный 4 2 6 2 2 2 2 2 2 2 2" xfId="208"/>
    <cellStyle name="Обычный 4 3" xfId="59"/>
    <cellStyle name="Обычный 4 4" xfId="83"/>
    <cellStyle name="Обычный 5" xfId="5"/>
    <cellStyle name="Обычный 6" xfId="6"/>
    <cellStyle name="Обычный 7" xfId="7"/>
    <cellStyle name="Обычный 8" xfId="8"/>
    <cellStyle name="Обычный 9" xfId="10"/>
    <cellStyle name="Финансовый [0] 2" xfId="90"/>
    <cellStyle name="Финансовый 2" xfId="4"/>
    <cellStyle name="Финансовый 2 2" xfId="6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&#1052;&#1086;&#1080;%20&#1076;&#1086;&#1082;&#1091;&#1084;&#1077;&#1085;&#1090;&#1099;/2023%20&#1075;&#1086;&#1076;%20-%20&#1059;&#1058;&#1054;&#1063;&#1053;&#1045;&#1053;&#1048;&#1045;%20&#1073;&#1102;&#1076;&#1078;&#1077;&#1090;&#1072;/5%20&#1059;&#1090;&#1086;&#1095;&#1085;&#1077;&#1085;&#1080;&#1077;/&#1056;&#1077;&#1096;&#1077;&#1085;&#1080;&#1077;%20&#1086;&#1090;%2022.11.2023%20&#8470;%20229/&#1087;&#1088;&#1080;&#1083;&#1086;&#1078;&#1077;&#1085;&#1080;&#1103;%20&#8470;&#8470;%201-6,%20&#8470;8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№ 1 источ "/>
      <sheetName val="№ 2 дох."/>
      <sheetName val="№ 3 р.п"/>
      <sheetName val="№ 4 ведом"/>
      <sheetName val=" № 5  рп, кцср, квр"/>
      <sheetName val="№ 6 МП"/>
      <sheetName val="№ 8 АИП"/>
    </sheetNames>
    <sheetDataSet>
      <sheetData sheetId="0"/>
      <sheetData sheetId="1"/>
      <sheetData sheetId="2"/>
      <sheetData sheetId="3">
        <row r="614">
          <cell r="F614">
            <v>1396.5</v>
          </cell>
        </row>
      </sheetData>
      <sheetData sheetId="4">
        <row r="697">
          <cell r="E697">
            <v>8006</v>
          </cell>
        </row>
        <row r="703">
          <cell r="E703">
            <v>5585.7999999999993</v>
          </cell>
        </row>
      </sheetData>
      <sheetData sheetId="5"/>
      <sheetData sheetId="6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3"/>
  <sheetViews>
    <sheetView view="pageBreakPreview" zoomScale="60" workbookViewId="0">
      <selection activeCell="H18" sqref="H18"/>
    </sheetView>
  </sheetViews>
  <sheetFormatPr defaultColWidth="9.140625" defaultRowHeight="15.75"/>
  <cols>
    <col min="1" max="1" width="30.5703125" style="85" customWidth="1"/>
    <col min="2" max="2" width="50.5703125" style="85" customWidth="1"/>
    <col min="3" max="3" width="12.5703125" style="159" customWidth="1"/>
    <col min="4" max="4" width="12.5703125" style="160" bestFit="1" customWidth="1"/>
    <col min="5" max="16384" width="9.140625" style="85"/>
  </cols>
  <sheetData>
    <row r="1" spans="1:4">
      <c r="A1" s="411" t="s">
        <v>249</v>
      </c>
      <c r="B1" s="411"/>
      <c r="C1" s="411"/>
      <c r="D1" s="411"/>
    </row>
    <row r="2" spans="1:4">
      <c r="A2" s="411" t="s">
        <v>285</v>
      </c>
      <c r="B2" s="411"/>
      <c r="C2" s="411"/>
      <c r="D2" s="411"/>
    </row>
    <row r="3" spans="1:4">
      <c r="A3" s="411" t="s">
        <v>413</v>
      </c>
      <c r="B3" s="411"/>
      <c r="C3" s="411"/>
      <c r="D3" s="411"/>
    </row>
    <row r="4" spans="1:4">
      <c r="A4" s="162"/>
      <c r="B4" s="162"/>
      <c r="D4" s="159"/>
    </row>
    <row r="5" spans="1:4">
      <c r="A5" s="413" t="s">
        <v>250</v>
      </c>
      <c r="B5" s="413"/>
      <c r="C5" s="413"/>
      <c r="D5" s="413"/>
    </row>
    <row r="6" spans="1:4">
      <c r="A6" s="413" t="s">
        <v>410</v>
      </c>
      <c r="B6" s="413"/>
      <c r="C6" s="413"/>
      <c r="D6" s="413"/>
    </row>
    <row r="8" spans="1:4" ht="15.6" customHeight="1">
      <c r="A8" s="414" t="s">
        <v>251</v>
      </c>
      <c r="B8" s="415" t="s">
        <v>18</v>
      </c>
      <c r="C8" s="416" t="s">
        <v>411</v>
      </c>
      <c r="D8" s="418" t="s">
        <v>412</v>
      </c>
    </row>
    <row r="9" spans="1:4" ht="40.9" customHeight="1">
      <c r="A9" s="414"/>
      <c r="B9" s="415"/>
      <c r="C9" s="417"/>
      <c r="D9" s="419"/>
    </row>
    <row r="10" spans="1:4">
      <c r="A10" s="239" t="s">
        <v>3</v>
      </c>
      <c r="B10" s="110">
        <v>2</v>
      </c>
      <c r="C10" s="158">
        <v>3</v>
      </c>
      <c r="D10" s="110">
        <v>4</v>
      </c>
    </row>
    <row r="11" spans="1:4" ht="37.5" customHeight="1">
      <c r="A11" s="86" t="s">
        <v>252</v>
      </c>
      <c r="B11" s="87" t="s">
        <v>278</v>
      </c>
      <c r="C11" s="88">
        <f>C12+C16</f>
        <v>92394.5</v>
      </c>
      <c r="D11" s="88">
        <f>D12+D16</f>
        <v>-29419.800000000047</v>
      </c>
    </row>
    <row r="12" spans="1:4" ht="27" customHeight="1">
      <c r="A12" s="84" t="s">
        <v>253</v>
      </c>
      <c r="B12" s="44" t="s">
        <v>254</v>
      </c>
      <c r="C12" s="89">
        <f t="shared" ref="C12" si="0">C13</f>
        <v>-1229965.8999999999</v>
      </c>
      <c r="D12" s="89">
        <f t="shared" ref="D12:D14" si="1">D13</f>
        <v>-1204487.1000000001</v>
      </c>
    </row>
    <row r="13" spans="1:4" ht="24.75" customHeight="1">
      <c r="A13" s="84" t="s">
        <v>255</v>
      </c>
      <c r="B13" s="44" t="s">
        <v>256</v>
      </c>
      <c r="C13" s="89">
        <f>C14</f>
        <v>-1229965.8999999999</v>
      </c>
      <c r="D13" s="89">
        <f t="shared" si="1"/>
        <v>-1204487.1000000001</v>
      </c>
    </row>
    <row r="14" spans="1:4" ht="42.75" customHeight="1">
      <c r="A14" s="84" t="s">
        <v>279</v>
      </c>
      <c r="B14" s="44" t="s">
        <v>280</v>
      </c>
      <c r="C14" s="89">
        <f>C15</f>
        <v>-1229965.8999999999</v>
      </c>
      <c r="D14" s="89">
        <f t="shared" si="1"/>
        <v>-1204487.1000000001</v>
      </c>
    </row>
    <row r="15" spans="1:4" ht="42.75" customHeight="1">
      <c r="A15" s="84" t="s">
        <v>257</v>
      </c>
      <c r="B15" s="44" t="s">
        <v>258</v>
      </c>
      <c r="C15" s="89">
        <v>-1229965.8999999999</v>
      </c>
      <c r="D15" s="110">
        <v>-1204487.1000000001</v>
      </c>
    </row>
    <row r="16" spans="1:4" ht="35.25" customHeight="1">
      <c r="A16" s="84" t="s">
        <v>259</v>
      </c>
      <c r="B16" s="44" t="s">
        <v>260</v>
      </c>
      <c r="C16" s="89">
        <f t="shared" ref="C16" si="2">C17</f>
        <v>1322360.3999999999</v>
      </c>
      <c r="D16" s="89">
        <f t="shared" ref="D16:D18" si="3">D17</f>
        <v>1175067.3</v>
      </c>
    </row>
    <row r="17" spans="1:4" ht="39" customHeight="1">
      <c r="A17" s="84" t="s">
        <v>261</v>
      </c>
      <c r="B17" s="44" t="s">
        <v>262</v>
      </c>
      <c r="C17" s="89">
        <f>C18</f>
        <v>1322360.3999999999</v>
      </c>
      <c r="D17" s="89">
        <f t="shared" si="3"/>
        <v>1175067.3</v>
      </c>
    </row>
    <row r="18" spans="1:4" ht="44.25" customHeight="1">
      <c r="A18" s="84" t="s">
        <v>281</v>
      </c>
      <c r="B18" s="44" t="s">
        <v>282</v>
      </c>
      <c r="C18" s="89">
        <f>C19</f>
        <v>1322360.3999999999</v>
      </c>
      <c r="D18" s="89">
        <f t="shared" si="3"/>
        <v>1175067.3</v>
      </c>
    </row>
    <row r="19" spans="1:4" ht="50.25" customHeight="1">
      <c r="A19" s="84" t="s">
        <v>263</v>
      </c>
      <c r="B19" s="44" t="s">
        <v>264</v>
      </c>
      <c r="C19" s="89">
        <v>1322360.3999999999</v>
      </c>
      <c r="D19" s="90">
        <v>1175067.3</v>
      </c>
    </row>
    <row r="20" spans="1:4" ht="36" customHeight="1">
      <c r="A20" s="412" t="s">
        <v>283</v>
      </c>
      <c r="B20" s="412"/>
      <c r="C20" s="88">
        <f>C11</f>
        <v>92394.5</v>
      </c>
      <c r="D20" s="88">
        <f t="shared" ref="D20" si="4">D11</f>
        <v>-29419.800000000047</v>
      </c>
    </row>
    <row r="22" spans="1:4">
      <c r="A22" s="91"/>
      <c r="B22" s="92"/>
    </row>
    <row r="23" spans="1:4">
      <c r="B23" s="157"/>
    </row>
  </sheetData>
  <mergeCells count="10">
    <mergeCell ref="A1:D1"/>
    <mergeCell ref="A2:D2"/>
    <mergeCell ref="A3:D3"/>
    <mergeCell ref="A20:B20"/>
    <mergeCell ref="A5:D5"/>
    <mergeCell ref="A6:D6"/>
    <mergeCell ref="A8:A9"/>
    <mergeCell ref="B8:B9"/>
    <mergeCell ref="C8:C9"/>
    <mergeCell ref="D8:D9"/>
  </mergeCells>
  <pageMargins left="0.59055118110236227" right="0.19685039370078741" top="0.19685039370078741" bottom="0.19685039370078741" header="0.51181102362204722" footer="0.51181102362204722"/>
  <pageSetup paperSize="9" scale="80" fitToHeight="0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I17"/>
  <sheetViews>
    <sheetView workbookViewId="0">
      <selection activeCell="J6" sqref="J6"/>
    </sheetView>
  </sheetViews>
  <sheetFormatPr defaultColWidth="9.140625" defaultRowHeight="15.75"/>
  <cols>
    <col min="1" max="1" width="42.7109375" style="85" customWidth="1"/>
    <col min="2" max="2" width="17.42578125" style="85" customWidth="1"/>
    <col min="3" max="3" width="28.140625" style="85" customWidth="1"/>
    <col min="4" max="4" width="14.5703125" style="240" customWidth="1"/>
    <col min="5" max="5" width="13.140625" style="85" customWidth="1"/>
    <col min="6" max="16384" width="9.140625" style="85"/>
  </cols>
  <sheetData>
    <row r="1" spans="1:9">
      <c r="A1" s="411" t="s">
        <v>418</v>
      </c>
      <c r="B1" s="411"/>
      <c r="C1" s="411"/>
      <c r="D1" s="411"/>
      <c r="E1" s="411"/>
    </row>
    <row r="2" spans="1:9">
      <c r="A2" s="411" t="s">
        <v>419</v>
      </c>
      <c r="B2" s="411"/>
      <c r="C2" s="411"/>
      <c r="D2" s="411"/>
      <c r="E2" s="411"/>
    </row>
    <row r="3" spans="1:9">
      <c r="A3" s="411" t="s">
        <v>426</v>
      </c>
      <c r="B3" s="411"/>
      <c r="C3" s="411"/>
      <c r="D3" s="411"/>
      <c r="E3" s="411"/>
    </row>
    <row r="5" spans="1:9" ht="19.899999999999999" customHeight="1">
      <c r="A5" s="413" t="s">
        <v>420</v>
      </c>
      <c r="B5" s="413"/>
      <c r="C5" s="413"/>
      <c r="D5" s="413"/>
      <c r="E5" s="413"/>
    </row>
    <row r="6" spans="1:9" ht="19.899999999999999" customHeight="1">
      <c r="A6" s="413" t="s">
        <v>427</v>
      </c>
      <c r="B6" s="413"/>
      <c r="C6" s="413"/>
      <c r="D6" s="413"/>
      <c r="E6" s="413"/>
    </row>
    <row r="7" spans="1:9" ht="16.149999999999999" customHeight="1">
      <c r="E7" s="85" t="s">
        <v>421</v>
      </c>
    </row>
    <row r="8" spans="1:9">
      <c r="A8" s="416" t="s">
        <v>18</v>
      </c>
      <c r="B8" s="423" t="s">
        <v>422</v>
      </c>
      <c r="C8" s="424"/>
      <c r="D8" s="416" t="s">
        <v>411</v>
      </c>
      <c r="E8" s="416" t="s">
        <v>412</v>
      </c>
    </row>
    <row r="9" spans="1:9" ht="63">
      <c r="A9" s="417"/>
      <c r="B9" s="232" t="s">
        <v>423</v>
      </c>
      <c r="C9" s="232" t="s">
        <v>424</v>
      </c>
      <c r="D9" s="417"/>
      <c r="E9" s="417"/>
    </row>
    <row r="10" spans="1:9">
      <c r="A10" s="232">
        <v>1</v>
      </c>
      <c r="B10" s="232">
        <v>2</v>
      </c>
      <c r="C10" s="232">
        <v>3</v>
      </c>
      <c r="D10" s="232">
        <v>4</v>
      </c>
      <c r="E10" s="242">
        <v>5</v>
      </c>
    </row>
    <row r="11" spans="1:9" ht="37.9" customHeight="1">
      <c r="A11" s="87" t="s">
        <v>269</v>
      </c>
      <c r="B11" s="243" t="s">
        <v>35</v>
      </c>
      <c r="C11" s="87"/>
      <c r="D11" s="88">
        <f>SUM(D12:D13)</f>
        <v>92394.5</v>
      </c>
      <c r="E11" s="88">
        <f>SUM(E12:E13)</f>
        <v>-29419.800000000047</v>
      </c>
    </row>
    <row r="12" spans="1:9" ht="40.9" customHeight="1">
      <c r="A12" s="44" t="s">
        <v>258</v>
      </c>
      <c r="B12" s="239" t="s">
        <v>35</v>
      </c>
      <c r="C12" s="84" t="s">
        <v>257</v>
      </c>
      <c r="D12" s="89">
        <f>'№ 1 источ '!C15</f>
        <v>-1229965.8999999999</v>
      </c>
      <c r="E12" s="89">
        <f>'№ 1 источ '!D15</f>
        <v>-1204487.1000000001</v>
      </c>
    </row>
    <row r="13" spans="1:9" ht="38.450000000000003" customHeight="1">
      <c r="A13" s="44" t="s">
        <v>264</v>
      </c>
      <c r="B13" s="239" t="s">
        <v>35</v>
      </c>
      <c r="C13" s="84" t="s">
        <v>263</v>
      </c>
      <c r="D13" s="89">
        <f>'№ 1 источ '!C19</f>
        <v>1322360.3999999999</v>
      </c>
      <c r="E13" s="89">
        <f>'№ 1 источ '!D19</f>
        <v>1175067.3</v>
      </c>
    </row>
    <row r="14" spans="1:9" ht="31.9" customHeight="1">
      <c r="A14" s="420" t="s">
        <v>425</v>
      </c>
      <c r="B14" s="421"/>
      <c r="C14" s="422"/>
      <c r="D14" s="88">
        <f>D11</f>
        <v>92394.5</v>
      </c>
      <c r="E14" s="88">
        <f>E11</f>
        <v>-29419.800000000047</v>
      </c>
      <c r="I14" s="244"/>
    </row>
    <row r="16" spans="1:9" s="240" customFormat="1">
      <c r="A16" s="92"/>
      <c r="B16" s="92"/>
      <c r="C16" s="92"/>
      <c r="E16" s="85"/>
    </row>
    <row r="17" spans="1:5" s="240" customFormat="1">
      <c r="A17" s="231"/>
      <c r="B17" s="231"/>
      <c r="C17" s="231"/>
      <c r="E17" s="85"/>
    </row>
  </sheetData>
  <mergeCells count="10">
    <mergeCell ref="A14:C14"/>
    <mergeCell ref="A1:E1"/>
    <mergeCell ref="A2:E2"/>
    <mergeCell ref="A3:E3"/>
    <mergeCell ref="A5:E5"/>
    <mergeCell ref="A6:E6"/>
    <mergeCell ref="A8:A9"/>
    <mergeCell ref="B8:C8"/>
    <mergeCell ref="D8:D9"/>
    <mergeCell ref="E8:E9"/>
  </mergeCells>
  <pageMargins left="0.78740157480314965" right="0.39370078740157483" top="0.59055118110236227" bottom="0.39370078740157483" header="0.51181102362204722" footer="0.51181102362204722"/>
  <pageSetup paperSize="9" scale="79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D204"/>
  <sheetViews>
    <sheetView topLeftCell="A10" zoomScale="80" zoomScaleNormal="80" workbookViewId="0">
      <selection activeCell="H15" sqref="H15"/>
    </sheetView>
  </sheetViews>
  <sheetFormatPr defaultColWidth="9.140625" defaultRowHeight="15.75"/>
  <cols>
    <col min="1" max="1" width="31.7109375" style="278" bestFit="1" customWidth="1"/>
    <col min="2" max="2" width="66.5703125" style="359" customWidth="1"/>
    <col min="3" max="4" width="14.42578125" style="282" customWidth="1"/>
    <col min="5" max="16384" width="9.140625" style="277"/>
  </cols>
  <sheetData>
    <row r="1" spans="1:4">
      <c r="A1" s="425" t="s">
        <v>477</v>
      </c>
      <c r="B1" s="425"/>
      <c r="C1" s="425"/>
      <c r="D1" s="425"/>
    </row>
    <row r="2" spans="1:4">
      <c r="A2" s="426" t="s">
        <v>478</v>
      </c>
      <c r="B2" s="426"/>
      <c r="C2" s="426"/>
      <c r="D2" s="426"/>
    </row>
    <row r="3" spans="1:4">
      <c r="A3" s="426" t="s">
        <v>1075</v>
      </c>
      <c r="B3" s="426"/>
      <c r="C3" s="426"/>
      <c r="D3" s="426"/>
    </row>
    <row r="4" spans="1:4">
      <c r="B4" s="279"/>
      <c r="C4" s="279"/>
      <c r="D4" s="279"/>
    </row>
    <row r="5" spans="1:4">
      <c r="A5" s="280"/>
      <c r="B5" s="281"/>
    </row>
    <row r="6" spans="1:4">
      <c r="A6" s="427" t="s">
        <v>479</v>
      </c>
      <c r="B6" s="427"/>
      <c r="C6" s="427"/>
      <c r="D6" s="427"/>
    </row>
    <row r="7" spans="1:4">
      <c r="A7" s="283"/>
      <c r="B7" s="283"/>
    </row>
    <row r="8" spans="1:4" ht="47.25">
      <c r="A8" s="284" t="s">
        <v>480</v>
      </c>
      <c r="B8" s="285" t="s">
        <v>481</v>
      </c>
      <c r="C8" s="286" t="s">
        <v>411</v>
      </c>
      <c r="D8" s="287" t="s">
        <v>412</v>
      </c>
    </row>
    <row r="9" spans="1:4">
      <c r="A9" s="288" t="s">
        <v>482</v>
      </c>
      <c r="B9" s="289" t="s">
        <v>483</v>
      </c>
      <c r="C9" s="290">
        <f>C10+C18+C28+C38+C46+C49+C65+C75+C88+C71+C129</f>
        <v>491832.89999999997</v>
      </c>
      <c r="D9" s="291">
        <f>D10+D18+D28+D38+D46+D49+D65+D75+D88+D71+D129</f>
        <v>568489</v>
      </c>
    </row>
    <row r="10" spans="1:4">
      <c r="A10" s="288" t="s">
        <v>484</v>
      </c>
      <c r="B10" s="289" t="s">
        <v>485</v>
      </c>
      <c r="C10" s="290">
        <f t="shared" ref="C10:D10" si="0">C11</f>
        <v>301951.69999999995</v>
      </c>
      <c r="D10" s="291">
        <f t="shared" si="0"/>
        <v>386780.10000000003</v>
      </c>
    </row>
    <row r="11" spans="1:4">
      <c r="A11" s="288" t="s">
        <v>486</v>
      </c>
      <c r="B11" s="289" t="s">
        <v>487</v>
      </c>
      <c r="C11" s="290">
        <f>SUM(C12:C17)</f>
        <v>301951.69999999995</v>
      </c>
      <c r="D11" s="291">
        <f>SUM(D12:D17)</f>
        <v>386780.10000000003</v>
      </c>
    </row>
    <row r="12" spans="1:4" ht="94.5">
      <c r="A12" s="292" t="s">
        <v>488</v>
      </c>
      <c r="B12" s="293" t="s">
        <v>489</v>
      </c>
      <c r="C12" s="294">
        <v>294941.40000000002</v>
      </c>
      <c r="D12" s="295">
        <v>363873.2</v>
      </c>
    </row>
    <row r="13" spans="1:4" ht="110.25">
      <c r="A13" s="292" t="s">
        <v>490</v>
      </c>
      <c r="B13" s="293" t="s">
        <v>491</v>
      </c>
      <c r="C13" s="294">
        <v>1013.6</v>
      </c>
      <c r="D13" s="295">
        <v>607.79999999999995</v>
      </c>
    </row>
    <row r="14" spans="1:4" ht="47.25">
      <c r="A14" s="292" t="s">
        <v>492</v>
      </c>
      <c r="B14" s="293" t="s">
        <v>493</v>
      </c>
      <c r="C14" s="294">
        <v>3429.6</v>
      </c>
      <c r="D14" s="295">
        <v>2062.1999999999998</v>
      </c>
    </row>
    <row r="15" spans="1:4" ht="126">
      <c r="A15" s="292" t="s">
        <v>494</v>
      </c>
      <c r="B15" s="293" t="s">
        <v>495</v>
      </c>
      <c r="C15" s="294">
        <v>2567.1</v>
      </c>
      <c r="D15" s="295">
        <v>490.2</v>
      </c>
    </row>
    <row r="16" spans="1:4" ht="47.25">
      <c r="A16" s="292" t="s">
        <v>496</v>
      </c>
      <c r="B16" s="293" t="s">
        <v>497</v>
      </c>
      <c r="C16" s="294">
        <v>0</v>
      </c>
      <c r="D16" s="295">
        <v>6888.4</v>
      </c>
    </row>
    <row r="17" spans="1:4" ht="47.25">
      <c r="A17" s="292" t="s">
        <v>498</v>
      </c>
      <c r="B17" s="293" t="s">
        <v>499</v>
      </c>
      <c r="C17" s="294">
        <v>0</v>
      </c>
      <c r="D17" s="295">
        <v>12858.3</v>
      </c>
    </row>
    <row r="18" spans="1:4" ht="47.25">
      <c r="A18" s="288" t="s">
        <v>500</v>
      </c>
      <c r="B18" s="289" t="s">
        <v>501</v>
      </c>
      <c r="C18" s="290">
        <f t="shared" ref="C18:D18" si="1">C19</f>
        <v>4792.6000000000004</v>
      </c>
      <c r="D18" s="291">
        <f t="shared" si="1"/>
        <v>5578.5</v>
      </c>
    </row>
    <row r="19" spans="1:4" ht="31.5">
      <c r="A19" s="288" t="s">
        <v>502</v>
      </c>
      <c r="B19" s="289" t="s">
        <v>503</v>
      </c>
      <c r="C19" s="290">
        <f t="shared" ref="C19:D19" si="2">C20+C22+C24+C26</f>
        <v>4792.6000000000004</v>
      </c>
      <c r="D19" s="291">
        <f t="shared" si="2"/>
        <v>5578.5</v>
      </c>
    </row>
    <row r="20" spans="1:4" ht="78.75">
      <c r="A20" s="292" t="s">
        <v>504</v>
      </c>
      <c r="B20" s="293" t="s">
        <v>505</v>
      </c>
      <c r="C20" s="294">
        <f t="shared" ref="C20:D20" si="3">C21</f>
        <v>2270</v>
      </c>
      <c r="D20" s="295">
        <f t="shared" si="3"/>
        <v>2890.5</v>
      </c>
    </row>
    <row r="21" spans="1:4" ht="110.25">
      <c r="A21" s="292" t="s">
        <v>506</v>
      </c>
      <c r="B21" s="296" t="s">
        <v>507</v>
      </c>
      <c r="C21" s="294">
        <v>2270</v>
      </c>
      <c r="D21" s="295">
        <v>2890.5</v>
      </c>
    </row>
    <row r="22" spans="1:4" ht="94.5">
      <c r="A22" s="292" t="s">
        <v>508</v>
      </c>
      <c r="B22" s="296" t="s">
        <v>509</v>
      </c>
      <c r="C22" s="294">
        <f t="shared" ref="C22:D22" si="4">C23</f>
        <v>15.8</v>
      </c>
      <c r="D22" s="295">
        <f t="shared" si="4"/>
        <v>15.1</v>
      </c>
    </row>
    <row r="23" spans="1:4" ht="126">
      <c r="A23" s="292" t="s">
        <v>510</v>
      </c>
      <c r="B23" s="297" t="s">
        <v>511</v>
      </c>
      <c r="C23" s="294">
        <v>15.8</v>
      </c>
      <c r="D23" s="295">
        <v>15.1</v>
      </c>
    </row>
    <row r="24" spans="1:4" ht="78.75">
      <c r="A24" s="292" t="s">
        <v>512</v>
      </c>
      <c r="B24" s="297" t="s">
        <v>513</v>
      </c>
      <c r="C24" s="294">
        <f t="shared" ref="C24:D24" si="5">C25</f>
        <v>2806.2</v>
      </c>
      <c r="D24" s="295">
        <f t="shared" si="5"/>
        <v>2987.6</v>
      </c>
    </row>
    <row r="25" spans="1:4" ht="126">
      <c r="A25" s="292" t="s">
        <v>514</v>
      </c>
      <c r="B25" s="297" t="s">
        <v>515</v>
      </c>
      <c r="C25" s="294">
        <v>2806.2</v>
      </c>
      <c r="D25" s="295">
        <v>2987.6</v>
      </c>
    </row>
    <row r="26" spans="1:4" ht="78.75">
      <c r="A26" s="292" t="s">
        <v>516</v>
      </c>
      <c r="B26" s="297" t="s">
        <v>517</v>
      </c>
      <c r="C26" s="294">
        <f t="shared" ref="C26:D26" si="6">C27</f>
        <v>-299.39999999999998</v>
      </c>
      <c r="D26" s="295">
        <f t="shared" si="6"/>
        <v>-314.7</v>
      </c>
    </row>
    <row r="27" spans="1:4" ht="110.25">
      <c r="A27" s="292" t="s">
        <v>518</v>
      </c>
      <c r="B27" s="296" t="s">
        <v>519</v>
      </c>
      <c r="C27" s="294">
        <v>-299.39999999999998</v>
      </c>
      <c r="D27" s="295">
        <v>-314.7</v>
      </c>
    </row>
    <row r="28" spans="1:4">
      <c r="A28" s="288" t="s">
        <v>520</v>
      </c>
      <c r="B28" s="289" t="s">
        <v>521</v>
      </c>
      <c r="C28" s="290">
        <f>C36+C29+C34</f>
        <v>41130.9</v>
      </c>
      <c r="D28" s="291">
        <f>D36+D29+D34</f>
        <v>38436.199999999997</v>
      </c>
    </row>
    <row r="29" spans="1:4" ht="31.5">
      <c r="A29" s="288" t="s">
        <v>522</v>
      </c>
      <c r="B29" s="289" t="s">
        <v>523</v>
      </c>
      <c r="C29" s="290">
        <f t="shared" ref="C29:D29" si="7">C30+C32</f>
        <v>31410.9</v>
      </c>
      <c r="D29" s="291">
        <f t="shared" si="7"/>
        <v>36703.1</v>
      </c>
    </row>
    <row r="30" spans="1:4" ht="31.5">
      <c r="A30" s="292" t="s">
        <v>524</v>
      </c>
      <c r="B30" s="293" t="s">
        <v>525</v>
      </c>
      <c r="C30" s="294">
        <f t="shared" ref="C30:D30" si="8">C31</f>
        <v>18370.2</v>
      </c>
      <c r="D30" s="295">
        <f t="shared" si="8"/>
        <v>23450.3</v>
      </c>
    </row>
    <row r="31" spans="1:4" ht="31.5">
      <c r="A31" s="292" t="s">
        <v>526</v>
      </c>
      <c r="B31" s="293" t="s">
        <v>525</v>
      </c>
      <c r="C31" s="298">
        <v>18370.2</v>
      </c>
      <c r="D31" s="299">
        <v>23450.3</v>
      </c>
    </row>
    <row r="32" spans="1:4" ht="47.25">
      <c r="A32" s="292" t="s">
        <v>527</v>
      </c>
      <c r="B32" s="293" t="s">
        <v>528</v>
      </c>
      <c r="C32" s="294">
        <f t="shared" ref="C32:D32" si="9">C33</f>
        <v>13040.7</v>
      </c>
      <c r="D32" s="295">
        <f t="shared" si="9"/>
        <v>13252.8</v>
      </c>
    </row>
    <row r="33" spans="1:4" ht="63">
      <c r="A33" s="292" t="s">
        <v>529</v>
      </c>
      <c r="B33" s="293" t="s">
        <v>530</v>
      </c>
      <c r="C33" s="298">
        <v>13040.7</v>
      </c>
      <c r="D33" s="299">
        <v>13252.8</v>
      </c>
    </row>
    <row r="34" spans="1:4" ht="31.5">
      <c r="A34" s="288" t="s">
        <v>531</v>
      </c>
      <c r="B34" s="289" t="s">
        <v>532</v>
      </c>
      <c r="C34" s="300">
        <f>C35</f>
        <v>0</v>
      </c>
      <c r="D34" s="301">
        <f>D35</f>
        <v>-326.89999999999998</v>
      </c>
    </row>
    <row r="35" spans="1:4" ht="31.5">
      <c r="A35" s="292" t="s">
        <v>533</v>
      </c>
      <c r="B35" s="293" t="s">
        <v>532</v>
      </c>
      <c r="C35" s="298">
        <v>0</v>
      </c>
      <c r="D35" s="299">
        <v>-326.89999999999998</v>
      </c>
    </row>
    <row r="36" spans="1:4" s="302" customFormat="1" ht="31.5">
      <c r="A36" s="288" t="s">
        <v>534</v>
      </c>
      <c r="B36" s="289" t="s">
        <v>535</v>
      </c>
      <c r="C36" s="290">
        <f t="shared" ref="C36:D36" si="10">C37</f>
        <v>9720</v>
      </c>
      <c r="D36" s="291">
        <f t="shared" si="10"/>
        <v>2060</v>
      </c>
    </row>
    <row r="37" spans="1:4" ht="31.5">
      <c r="A37" s="292" t="s">
        <v>536</v>
      </c>
      <c r="B37" s="293" t="s">
        <v>537</v>
      </c>
      <c r="C37" s="303">
        <v>9720</v>
      </c>
      <c r="D37" s="304">
        <v>2060</v>
      </c>
    </row>
    <row r="38" spans="1:4">
      <c r="A38" s="288" t="s">
        <v>538</v>
      </c>
      <c r="B38" s="289" t="s">
        <v>539</v>
      </c>
      <c r="C38" s="290">
        <f t="shared" ref="C38:D38" si="11">C39+C41</f>
        <v>61701</v>
      </c>
      <c r="D38" s="291">
        <f t="shared" si="11"/>
        <v>66195.600000000006</v>
      </c>
    </row>
    <row r="39" spans="1:4">
      <c r="A39" s="288" t="s">
        <v>540</v>
      </c>
      <c r="B39" s="289" t="s">
        <v>541</v>
      </c>
      <c r="C39" s="290">
        <f t="shared" ref="C39:D39" si="12">C40</f>
        <v>19061</v>
      </c>
      <c r="D39" s="291">
        <f t="shared" si="12"/>
        <v>26093.9</v>
      </c>
    </row>
    <row r="40" spans="1:4" ht="47.25">
      <c r="A40" s="292" t="s">
        <v>542</v>
      </c>
      <c r="B40" s="293" t="s">
        <v>543</v>
      </c>
      <c r="C40" s="305">
        <v>19061</v>
      </c>
      <c r="D40" s="306">
        <v>26093.9</v>
      </c>
    </row>
    <row r="41" spans="1:4" s="302" customFormat="1">
      <c r="A41" s="288" t="s">
        <v>544</v>
      </c>
      <c r="B41" s="289" t="s">
        <v>545</v>
      </c>
      <c r="C41" s="290">
        <f t="shared" ref="C41:D41" si="13">C42+C44</f>
        <v>42640</v>
      </c>
      <c r="D41" s="291">
        <f t="shared" si="13"/>
        <v>40101.699999999997</v>
      </c>
    </row>
    <row r="42" spans="1:4">
      <c r="A42" s="292" t="s">
        <v>546</v>
      </c>
      <c r="B42" s="293" t="s">
        <v>547</v>
      </c>
      <c r="C42" s="294">
        <f t="shared" ref="C42:D42" si="14">C43</f>
        <v>34134</v>
      </c>
      <c r="D42" s="295">
        <f t="shared" si="14"/>
        <v>29042.400000000001</v>
      </c>
    </row>
    <row r="43" spans="1:4" ht="31.5">
      <c r="A43" s="292" t="s">
        <v>548</v>
      </c>
      <c r="B43" s="293" t="s">
        <v>549</v>
      </c>
      <c r="C43" s="305">
        <v>34134</v>
      </c>
      <c r="D43" s="306">
        <v>29042.400000000001</v>
      </c>
    </row>
    <row r="44" spans="1:4">
      <c r="A44" s="292" t="s">
        <v>550</v>
      </c>
      <c r="B44" s="293" t="s">
        <v>551</v>
      </c>
      <c r="C44" s="294">
        <f t="shared" ref="C44:D44" si="15">C45</f>
        <v>8506</v>
      </c>
      <c r="D44" s="295">
        <f t="shared" si="15"/>
        <v>11059.3</v>
      </c>
    </row>
    <row r="45" spans="1:4" ht="31.5">
      <c r="A45" s="292" t="s">
        <v>552</v>
      </c>
      <c r="B45" s="293" t="s">
        <v>553</v>
      </c>
      <c r="C45" s="305">
        <v>8506</v>
      </c>
      <c r="D45" s="306">
        <v>11059.3</v>
      </c>
    </row>
    <row r="46" spans="1:4">
      <c r="A46" s="288" t="s">
        <v>554</v>
      </c>
      <c r="B46" s="289" t="s">
        <v>555</v>
      </c>
      <c r="C46" s="290">
        <f t="shared" ref="C46:D47" si="16">C47</f>
        <v>7129</v>
      </c>
      <c r="D46" s="291">
        <f t="shared" si="16"/>
        <v>6523.1</v>
      </c>
    </row>
    <row r="47" spans="1:4" ht="31.5">
      <c r="A47" s="288" t="s">
        <v>556</v>
      </c>
      <c r="B47" s="289" t="s">
        <v>557</v>
      </c>
      <c r="C47" s="290">
        <f t="shared" si="16"/>
        <v>7129</v>
      </c>
      <c r="D47" s="291">
        <f t="shared" si="16"/>
        <v>6523.1</v>
      </c>
    </row>
    <row r="48" spans="1:4" s="302" customFormat="1" ht="47.25">
      <c r="A48" s="292" t="s">
        <v>558</v>
      </c>
      <c r="B48" s="293" t="s">
        <v>559</v>
      </c>
      <c r="C48" s="305">
        <v>7129</v>
      </c>
      <c r="D48" s="306">
        <v>6523.1</v>
      </c>
    </row>
    <row r="49" spans="1:4" ht="47.25">
      <c r="A49" s="288" t="s">
        <v>560</v>
      </c>
      <c r="B49" s="289" t="s">
        <v>561</v>
      </c>
      <c r="C49" s="290">
        <f t="shared" ref="C49:D49" si="17">C50+C57+C60</f>
        <v>25528.7</v>
      </c>
      <c r="D49" s="307">
        <f t="shared" si="17"/>
        <v>29316.6</v>
      </c>
    </row>
    <row r="50" spans="1:4" ht="94.5">
      <c r="A50" s="288" t="s">
        <v>562</v>
      </c>
      <c r="B50" s="289" t="s">
        <v>563</v>
      </c>
      <c r="C50" s="290">
        <f t="shared" ref="C50:D50" si="18">C51+C53+C55</f>
        <v>22956.1</v>
      </c>
      <c r="D50" s="291">
        <f t="shared" si="18"/>
        <v>26253.7</v>
      </c>
    </row>
    <row r="51" spans="1:4" ht="63">
      <c r="A51" s="292" t="s">
        <v>564</v>
      </c>
      <c r="B51" s="293" t="s">
        <v>565</v>
      </c>
      <c r="C51" s="294">
        <f t="shared" ref="C51:D51" si="19">C52</f>
        <v>14555.8</v>
      </c>
      <c r="D51" s="295">
        <f t="shared" si="19"/>
        <v>14283.9</v>
      </c>
    </row>
    <row r="52" spans="1:4" s="302" customFormat="1" ht="78.75">
      <c r="A52" s="292" t="s">
        <v>566</v>
      </c>
      <c r="B52" s="293" t="s">
        <v>567</v>
      </c>
      <c r="C52" s="294">
        <v>14555.8</v>
      </c>
      <c r="D52" s="295">
        <v>14283.9</v>
      </c>
    </row>
    <row r="53" spans="1:4" ht="78.75">
      <c r="A53" s="292" t="s">
        <v>568</v>
      </c>
      <c r="B53" s="293" t="s">
        <v>569</v>
      </c>
      <c r="C53" s="305">
        <f t="shared" ref="C53:D53" si="20">C54</f>
        <v>1232.3</v>
      </c>
      <c r="D53" s="306">
        <f t="shared" si="20"/>
        <v>1133.5999999999999</v>
      </c>
    </row>
    <row r="54" spans="1:4" ht="78.75">
      <c r="A54" s="292" t="s">
        <v>570</v>
      </c>
      <c r="B54" s="293" t="s">
        <v>571</v>
      </c>
      <c r="C54" s="305">
        <v>1232.3</v>
      </c>
      <c r="D54" s="306">
        <v>1133.5999999999999</v>
      </c>
    </row>
    <row r="55" spans="1:4" ht="47.25">
      <c r="A55" s="292" t="s">
        <v>572</v>
      </c>
      <c r="B55" s="293" t="s">
        <v>573</v>
      </c>
      <c r="C55" s="294">
        <f t="shared" ref="C55:D55" si="21">C56</f>
        <v>7168</v>
      </c>
      <c r="D55" s="295">
        <f t="shared" si="21"/>
        <v>10836.2</v>
      </c>
    </row>
    <row r="56" spans="1:4" ht="31.5">
      <c r="A56" s="292" t="s">
        <v>574</v>
      </c>
      <c r="B56" s="293" t="s">
        <v>575</v>
      </c>
      <c r="C56" s="294">
        <v>7168</v>
      </c>
      <c r="D56" s="295">
        <v>10836.2</v>
      </c>
    </row>
    <row r="57" spans="1:4" ht="31.5">
      <c r="A57" s="288" t="s">
        <v>576</v>
      </c>
      <c r="B57" s="289" t="s">
        <v>577</v>
      </c>
      <c r="C57" s="290">
        <f t="shared" ref="C57:D58" si="22">C58</f>
        <v>6.7</v>
      </c>
      <c r="D57" s="291">
        <f t="shared" si="22"/>
        <v>36.6</v>
      </c>
    </row>
    <row r="58" spans="1:4" ht="47.25">
      <c r="A58" s="292" t="s">
        <v>578</v>
      </c>
      <c r="B58" s="293" t="s">
        <v>579</v>
      </c>
      <c r="C58" s="294">
        <f t="shared" si="22"/>
        <v>6.7</v>
      </c>
      <c r="D58" s="295">
        <f t="shared" si="22"/>
        <v>36.6</v>
      </c>
    </row>
    <row r="59" spans="1:4" s="302" customFormat="1" ht="47.25">
      <c r="A59" s="292" t="s">
        <v>580</v>
      </c>
      <c r="B59" s="293" t="s">
        <v>581</v>
      </c>
      <c r="C59" s="294">
        <v>6.7</v>
      </c>
      <c r="D59" s="295">
        <v>36.6</v>
      </c>
    </row>
    <row r="60" spans="1:4" ht="94.5">
      <c r="A60" s="288" t="s">
        <v>582</v>
      </c>
      <c r="B60" s="289" t="s">
        <v>583</v>
      </c>
      <c r="C60" s="290">
        <f t="shared" ref="C60:D60" si="23">C61+C63</f>
        <v>2565.9</v>
      </c>
      <c r="D60" s="291">
        <f t="shared" si="23"/>
        <v>3026.2999999999997</v>
      </c>
    </row>
    <row r="61" spans="1:4" ht="78.75">
      <c r="A61" s="292" t="s">
        <v>584</v>
      </c>
      <c r="B61" s="293" t="s">
        <v>585</v>
      </c>
      <c r="C61" s="294">
        <f t="shared" ref="C61:D61" si="24">C62</f>
        <v>2192.6</v>
      </c>
      <c r="D61" s="295">
        <f t="shared" si="24"/>
        <v>2801.2</v>
      </c>
    </row>
    <row r="62" spans="1:4" ht="78.75">
      <c r="A62" s="292" t="s">
        <v>586</v>
      </c>
      <c r="B62" s="293" t="s">
        <v>587</v>
      </c>
      <c r="C62" s="294">
        <v>2192.6</v>
      </c>
      <c r="D62" s="295">
        <v>2801.2</v>
      </c>
    </row>
    <row r="63" spans="1:4" ht="110.25">
      <c r="A63" s="292" t="s">
        <v>588</v>
      </c>
      <c r="B63" s="293" t="s">
        <v>589</v>
      </c>
      <c r="C63" s="294">
        <f t="shared" ref="C63:D63" si="25">C64</f>
        <v>373.3</v>
      </c>
      <c r="D63" s="295">
        <f t="shared" si="25"/>
        <v>225.1</v>
      </c>
    </row>
    <row r="64" spans="1:4" ht="94.5">
      <c r="A64" s="292" t="s">
        <v>590</v>
      </c>
      <c r="B64" s="293" t="s">
        <v>591</v>
      </c>
      <c r="C64" s="294">
        <v>373.3</v>
      </c>
      <c r="D64" s="295">
        <v>225.1</v>
      </c>
    </row>
    <row r="65" spans="1:4" ht="31.5">
      <c r="A65" s="288" t="s">
        <v>592</v>
      </c>
      <c r="B65" s="289" t="s">
        <v>593</v>
      </c>
      <c r="C65" s="290">
        <f t="shared" ref="C65:D65" si="26">C66</f>
        <v>510</v>
      </c>
      <c r="D65" s="291">
        <f t="shared" si="26"/>
        <v>181.4</v>
      </c>
    </row>
    <row r="66" spans="1:4">
      <c r="A66" s="288" t="s">
        <v>594</v>
      </c>
      <c r="B66" s="289" t="s">
        <v>595</v>
      </c>
      <c r="C66" s="290">
        <f t="shared" ref="C66:D66" si="27">SUM(C67:C69)</f>
        <v>510</v>
      </c>
      <c r="D66" s="291">
        <f t="shared" si="27"/>
        <v>181.4</v>
      </c>
    </row>
    <row r="67" spans="1:4" ht="31.5">
      <c r="A67" s="308" t="s">
        <v>596</v>
      </c>
      <c r="B67" s="309" t="s">
        <v>597</v>
      </c>
      <c r="C67" s="294">
        <v>96.2</v>
      </c>
      <c r="D67" s="295">
        <v>58.8</v>
      </c>
    </row>
    <row r="68" spans="1:4">
      <c r="A68" s="308" t="s">
        <v>598</v>
      </c>
      <c r="B68" s="310" t="s">
        <v>599</v>
      </c>
      <c r="C68" s="294">
        <v>208.8</v>
      </c>
      <c r="D68" s="295">
        <v>114</v>
      </c>
    </row>
    <row r="69" spans="1:4">
      <c r="A69" s="308" t="s">
        <v>600</v>
      </c>
      <c r="B69" s="310" t="s">
        <v>601</v>
      </c>
      <c r="C69" s="294">
        <f t="shared" ref="C69:D69" si="28">C70</f>
        <v>205</v>
      </c>
      <c r="D69" s="295">
        <f t="shared" si="28"/>
        <v>8.6</v>
      </c>
    </row>
    <row r="70" spans="1:4">
      <c r="A70" s="308" t="s">
        <v>602</v>
      </c>
      <c r="B70" s="310" t="s">
        <v>603</v>
      </c>
      <c r="C70" s="294">
        <v>205</v>
      </c>
      <c r="D70" s="295">
        <v>8.6</v>
      </c>
    </row>
    <row r="71" spans="1:4" ht="31.5">
      <c r="A71" s="311" t="s">
        <v>604</v>
      </c>
      <c r="B71" s="312" t="s">
        <v>605</v>
      </c>
      <c r="C71" s="290">
        <f t="shared" ref="C71:D73" si="29">C72</f>
        <v>1653.7</v>
      </c>
      <c r="D71" s="291">
        <f t="shared" si="29"/>
        <v>2036.2</v>
      </c>
    </row>
    <row r="72" spans="1:4" s="302" customFormat="1">
      <c r="A72" s="311" t="s">
        <v>606</v>
      </c>
      <c r="B72" s="312" t="s">
        <v>607</v>
      </c>
      <c r="C72" s="290">
        <f t="shared" si="29"/>
        <v>1653.7</v>
      </c>
      <c r="D72" s="291">
        <f t="shared" si="29"/>
        <v>2036.2</v>
      </c>
    </row>
    <row r="73" spans="1:4">
      <c r="A73" s="308" t="s">
        <v>608</v>
      </c>
      <c r="B73" s="310" t="s">
        <v>609</v>
      </c>
      <c r="C73" s="294">
        <f t="shared" si="29"/>
        <v>1653.7</v>
      </c>
      <c r="D73" s="295">
        <f t="shared" si="29"/>
        <v>2036.2</v>
      </c>
    </row>
    <row r="74" spans="1:4" ht="31.5">
      <c r="A74" s="308" t="s">
        <v>610</v>
      </c>
      <c r="B74" s="310" t="s">
        <v>611</v>
      </c>
      <c r="C74" s="294">
        <v>1653.7</v>
      </c>
      <c r="D74" s="295">
        <v>2036.2</v>
      </c>
    </row>
    <row r="75" spans="1:4" ht="31.5">
      <c r="A75" s="288" t="s">
        <v>612</v>
      </c>
      <c r="B75" s="289" t="s">
        <v>613</v>
      </c>
      <c r="C75" s="290">
        <f>C81+C86+C76+C78</f>
        <v>42504.200000000004</v>
      </c>
      <c r="D75" s="291">
        <f>D81+D86+D76+D78</f>
        <v>28161</v>
      </c>
    </row>
    <row r="76" spans="1:4">
      <c r="A76" s="288" t="s">
        <v>614</v>
      </c>
      <c r="B76" s="289" t="s">
        <v>615</v>
      </c>
      <c r="C76" s="290">
        <f>C77</f>
        <v>0</v>
      </c>
      <c r="D76" s="291">
        <f>D77</f>
        <v>26.6</v>
      </c>
    </row>
    <row r="77" spans="1:4" ht="31.5">
      <c r="A77" s="292" t="s">
        <v>616</v>
      </c>
      <c r="B77" s="293" t="s">
        <v>617</v>
      </c>
      <c r="C77" s="294">
        <v>0</v>
      </c>
      <c r="D77" s="295">
        <v>26.6</v>
      </c>
    </row>
    <row r="78" spans="1:4" ht="94.5">
      <c r="A78" s="288" t="s">
        <v>618</v>
      </c>
      <c r="B78" s="289" t="s">
        <v>619</v>
      </c>
      <c r="C78" s="290">
        <f>C79</f>
        <v>0</v>
      </c>
      <c r="D78" s="291">
        <f>D79</f>
        <v>1.1000000000000001</v>
      </c>
    </row>
    <row r="79" spans="1:4" ht="94.5">
      <c r="A79" s="292" t="s">
        <v>620</v>
      </c>
      <c r="B79" s="293" t="s">
        <v>621</v>
      </c>
      <c r="C79" s="294">
        <f>C80</f>
        <v>0</v>
      </c>
      <c r="D79" s="295">
        <f>D80</f>
        <v>1.1000000000000001</v>
      </c>
    </row>
    <row r="80" spans="1:4" ht="78.75">
      <c r="A80" s="292" t="s">
        <v>622</v>
      </c>
      <c r="B80" s="293" t="s">
        <v>623</v>
      </c>
      <c r="C80" s="294">
        <v>0</v>
      </c>
      <c r="D80" s="295">
        <v>1.1000000000000001</v>
      </c>
    </row>
    <row r="81" spans="1:4" ht="31.5">
      <c r="A81" s="288" t="s">
        <v>624</v>
      </c>
      <c r="B81" s="289" t="s">
        <v>625</v>
      </c>
      <c r="C81" s="290">
        <f>C82+C84</f>
        <v>1712.8</v>
      </c>
      <c r="D81" s="291">
        <f>D82+D84</f>
        <v>1809.4</v>
      </c>
    </row>
    <row r="82" spans="1:4" ht="31.5">
      <c r="A82" s="292" t="s">
        <v>626</v>
      </c>
      <c r="B82" s="293" t="s">
        <v>627</v>
      </c>
      <c r="C82" s="294">
        <f t="shared" ref="C82:D82" si="30">C83</f>
        <v>1712.8</v>
      </c>
      <c r="D82" s="295">
        <f t="shared" si="30"/>
        <v>1442.4</v>
      </c>
    </row>
    <row r="83" spans="1:4" ht="47.25">
      <c r="A83" s="292" t="s">
        <v>628</v>
      </c>
      <c r="B83" s="293" t="s">
        <v>629</v>
      </c>
      <c r="C83" s="294">
        <v>1712.8</v>
      </c>
      <c r="D83" s="295">
        <v>1442.4</v>
      </c>
    </row>
    <row r="84" spans="1:4" ht="47.25">
      <c r="A84" s="292" t="s">
        <v>630</v>
      </c>
      <c r="B84" s="293" t="s">
        <v>631</v>
      </c>
      <c r="C84" s="294">
        <f>C85</f>
        <v>0</v>
      </c>
      <c r="D84" s="295">
        <f>D85</f>
        <v>367</v>
      </c>
    </row>
    <row r="85" spans="1:4" ht="63">
      <c r="A85" s="292" t="s">
        <v>632</v>
      </c>
      <c r="B85" s="293" t="s">
        <v>633</v>
      </c>
      <c r="C85" s="294">
        <v>0</v>
      </c>
      <c r="D85" s="295">
        <v>367</v>
      </c>
    </row>
    <row r="86" spans="1:4" ht="31.5">
      <c r="A86" s="288" t="s">
        <v>634</v>
      </c>
      <c r="B86" s="313" t="s">
        <v>635</v>
      </c>
      <c r="C86" s="290">
        <f t="shared" ref="C86:D86" si="31">C87</f>
        <v>40791.4</v>
      </c>
      <c r="D86" s="291">
        <f t="shared" si="31"/>
        <v>26323.9</v>
      </c>
    </row>
    <row r="87" spans="1:4" ht="47.25">
      <c r="A87" s="292" t="s">
        <v>636</v>
      </c>
      <c r="B87" s="296" t="s">
        <v>637</v>
      </c>
      <c r="C87" s="294">
        <f>16997.4+23794</f>
        <v>40791.4</v>
      </c>
      <c r="D87" s="295">
        <v>26323.9</v>
      </c>
    </row>
    <row r="88" spans="1:4">
      <c r="A88" s="288" t="s">
        <v>638</v>
      </c>
      <c r="B88" s="313" t="s">
        <v>639</v>
      </c>
      <c r="C88" s="290">
        <f>C89+C115+C126+C122+C117</f>
        <v>4689</v>
      </c>
      <c r="D88" s="291">
        <f>D89+D115+D126+D122+D117</f>
        <v>5052.7999999999993</v>
      </c>
    </row>
    <row r="89" spans="1:4" ht="47.25">
      <c r="A89" s="288" t="s">
        <v>640</v>
      </c>
      <c r="B89" s="313" t="s">
        <v>641</v>
      </c>
      <c r="C89" s="290">
        <f>C105+C107+C113+C90+C92+C94+C97+C109+C111+C103+C101+C99</f>
        <v>1812.2</v>
      </c>
      <c r="D89" s="291">
        <f>D105+D107+D113+D90+D92+D94+D97+D109+D111+D103+D101+D99</f>
        <v>852.9</v>
      </c>
    </row>
    <row r="90" spans="1:4" ht="63">
      <c r="A90" s="314" t="s">
        <v>642</v>
      </c>
      <c r="B90" s="296" t="s">
        <v>643</v>
      </c>
      <c r="C90" s="294">
        <f t="shared" ref="C90:D90" si="32">C91</f>
        <v>42.2</v>
      </c>
      <c r="D90" s="295">
        <f t="shared" si="32"/>
        <v>34.4</v>
      </c>
    </row>
    <row r="91" spans="1:4" ht="78.75">
      <c r="A91" s="292" t="s">
        <v>644</v>
      </c>
      <c r="B91" s="296" t="s">
        <v>645</v>
      </c>
      <c r="C91" s="294">
        <f>26+15.6+0.6</f>
        <v>42.2</v>
      </c>
      <c r="D91" s="295">
        <v>34.4</v>
      </c>
    </row>
    <row r="92" spans="1:4" ht="78.75">
      <c r="A92" s="292" t="s">
        <v>646</v>
      </c>
      <c r="B92" s="296" t="s">
        <v>647</v>
      </c>
      <c r="C92" s="294">
        <f t="shared" ref="C92:D92" si="33">C93</f>
        <v>71.900000000000006</v>
      </c>
      <c r="D92" s="295">
        <f t="shared" si="33"/>
        <v>23.7</v>
      </c>
    </row>
    <row r="93" spans="1:4" ht="94.5">
      <c r="A93" s="292" t="s">
        <v>648</v>
      </c>
      <c r="B93" s="296" t="s">
        <v>649</v>
      </c>
      <c r="C93" s="294">
        <f>45+26.9</f>
        <v>71.900000000000006</v>
      </c>
      <c r="D93" s="295">
        <v>23.7</v>
      </c>
    </row>
    <row r="94" spans="1:4" ht="63">
      <c r="A94" s="292" t="s">
        <v>650</v>
      </c>
      <c r="B94" s="296" t="s">
        <v>651</v>
      </c>
      <c r="C94" s="294">
        <f t="shared" ref="C94:D94" si="34">C95+C96</f>
        <v>83.2</v>
      </c>
      <c r="D94" s="295">
        <f t="shared" si="34"/>
        <v>101.5</v>
      </c>
    </row>
    <row r="95" spans="1:4" ht="78.75">
      <c r="A95" s="292" t="s">
        <v>652</v>
      </c>
      <c r="B95" s="296" t="s">
        <v>653</v>
      </c>
      <c r="C95" s="294">
        <f>7.6+50.1+3.6</f>
        <v>61.300000000000004</v>
      </c>
      <c r="D95" s="295">
        <v>101.5</v>
      </c>
    </row>
    <row r="96" spans="1:4" ht="78.75">
      <c r="A96" s="292" t="s">
        <v>654</v>
      </c>
      <c r="B96" s="296" t="s">
        <v>655</v>
      </c>
      <c r="C96" s="294">
        <v>21.9</v>
      </c>
      <c r="D96" s="295">
        <v>0</v>
      </c>
    </row>
    <row r="97" spans="1:4" ht="63">
      <c r="A97" s="292" t="s">
        <v>656</v>
      </c>
      <c r="B97" s="296" t="s">
        <v>657</v>
      </c>
      <c r="C97" s="294">
        <f t="shared" ref="C97:D97" si="35">C98</f>
        <v>285</v>
      </c>
      <c r="D97" s="295">
        <f t="shared" si="35"/>
        <v>145</v>
      </c>
    </row>
    <row r="98" spans="1:4" ht="94.5">
      <c r="A98" s="292" t="s">
        <v>658</v>
      </c>
      <c r="B98" s="296" t="s">
        <v>659</v>
      </c>
      <c r="C98" s="294">
        <f>15+270</f>
        <v>285</v>
      </c>
      <c r="D98" s="295">
        <v>145</v>
      </c>
    </row>
    <row r="99" spans="1:4" ht="63">
      <c r="A99" s="292" t="s">
        <v>660</v>
      </c>
      <c r="B99" s="296" t="s">
        <v>661</v>
      </c>
      <c r="C99" s="294">
        <f>C100</f>
        <v>0</v>
      </c>
      <c r="D99" s="295">
        <f>D100</f>
        <v>25</v>
      </c>
    </row>
    <row r="100" spans="1:4" ht="78.75">
      <c r="A100" s="292" t="s">
        <v>662</v>
      </c>
      <c r="B100" s="296" t="s">
        <v>663</v>
      </c>
      <c r="C100" s="294">
        <v>0</v>
      </c>
      <c r="D100" s="295">
        <v>25</v>
      </c>
    </row>
    <row r="101" spans="1:4" ht="63">
      <c r="A101" s="292" t="s">
        <v>664</v>
      </c>
      <c r="B101" s="296" t="s">
        <v>665</v>
      </c>
      <c r="C101" s="294">
        <f t="shared" ref="C101:D101" si="36">C102</f>
        <v>2</v>
      </c>
      <c r="D101" s="295">
        <f t="shared" si="36"/>
        <v>0</v>
      </c>
    </row>
    <row r="102" spans="1:4" ht="94.5">
      <c r="A102" s="292" t="s">
        <v>666</v>
      </c>
      <c r="B102" s="296" t="s">
        <v>667</v>
      </c>
      <c r="C102" s="294">
        <f>0.5+1.5</f>
        <v>2</v>
      </c>
      <c r="D102" s="295">
        <v>0</v>
      </c>
    </row>
    <row r="103" spans="1:4" ht="63">
      <c r="A103" s="292" t="s">
        <v>668</v>
      </c>
      <c r="B103" s="296" t="s">
        <v>669</v>
      </c>
      <c r="C103" s="294">
        <f t="shared" ref="C103:D103" si="37">C104</f>
        <v>5.6</v>
      </c>
      <c r="D103" s="295">
        <f t="shared" si="37"/>
        <v>0</v>
      </c>
    </row>
    <row r="104" spans="1:4" ht="78.75">
      <c r="A104" s="292" t="s">
        <v>670</v>
      </c>
      <c r="B104" s="296" t="s">
        <v>671</v>
      </c>
      <c r="C104" s="294">
        <v>5.6</v>
      </c>
      <c r="D104" s="295">
        <v>0</v>
      </c>
    </row>
    <row r="105" spans="1:4" ht="78.75">
      <c r="A105" s="292" t="s">
        <v>672</v>
      </c>
      <c r="B105" s="296" t="s">
        <v>673</v>
      </c>
      <c r="C105" s="294">
        <f t="shared" ref="C105:D105" si="38">C106</f>
        <v>62.2</v>
      </c>
      <c r="D105" s="295">
        <f t="shared" si="38"/>
        <v>42.9</v>
      </c>
    </row>
    <row r="106" spans="1:4" ht="94.5">
      <c r="A106" s="292" t="s">
        <v>674</v>
      </c>
      <c r="B106" s="296" t="s">
        <v>675</v>
      </c>
      <c r="C106" s="294">
        <f>43.4+18.8</f>
        <v>62.2</v>
      </c>
      <c r="D106" s="295">
        <v>42.9</v>
      </c>
    </row>
    <row r="107" spans="1:4" ht="63">
      <c r="A107" s="314" t="s">
        <v>676</v>
      </c>
      <c r="B107" s="296" t="s">
        <v>677</v>
      </c>
      <c r="C107" s="294">
        <f t="shared" ref="C107:D107" si="39">C108</f>
        <v>49.9</v>
      </c>
      <c r="D107" s="295">
        <f t="shared" si="39"/>
        <v>7.3</v>
      </c>
    </row>
    <row r="108" spans="1:4" ht="126">
      <c r="A108" s="292" t="s">
        <v>678</v>
      </c>
      <c r="B108" s="296" t="s">
        <v>679</v>
      </c>
      <c r="C108" s="294">
        <f>15.4+3.6+12.5+18.4</f>
        <v>49.9</v>
      </c>
      <c r="D108" s="295">
        <v>7.3</v>
      </c>
    </row>
    <row r="109" spans="1:4" ht="63">
      <c r="A109" s="292" t="s">
        <v>680</v>
      </c>
      <c r="B109" s="296" t="s">
        <v>681</v>
      </c>
      <c r="C109" s="294">
        <f t="shared" ref="C109:D109" si="40">C110</f>
        <v>33.700000000000003</v>
      </c>
      <c r="D109" s="295">
        <f t="shared" si="40"/>
        <v>8.3000000000000007</v>
      </c>
    </row>
    <row r="110" spans="1:4" ht="94.5">
      <c r="A110" s="292" t="s">
        <v>682</v>
      </c>
      <c r="B110" s="296" t="s">
        <v>683</v>
      </c>
      <c r="C110" s="294">
        <f>11.9+3.1+18.7</f>
        <v>33.700000000000003</v>
      </c>
      <c r="D110" s="295">
        <v>8.3000000000000007</v>
      </c>
    </row>
    <row r="111" spans="1:4" ht="63">
      <c r="A111" s="292" t="s">
        <v>684</v>
      </c>
      <c r="B111" s="296" t="s">
        <v>685</v>
      </c>
      <c r="C111" s="294">
        <f t="shared" ref="C111:D111" si="41">C112</f>
        <v>449.70000000000005</v>
      </c>
      <c r="D111" s="295">
        <f t="shared" si="41"/>
        <v>47.2</v>
      </c>
    </row>
    <row r="112" spans="1:4" ht="78.75">
      <c r="A112" s="292" t="s">
        <v>686</v>
      </c>
      <c r="B112" s="296" t="s">
        <v>687</v>
      </c>
      <c r="C112" s="294">
        <f>386.3+9.8+25+1+19.3+2.3+6</f>
        <v>449.70000000000005</v>
      </c>
      <c r="D112" s="295">
        <v>47.2</v>
      </c>
    </row>
    <row r="113" spans="1:4" ht="63">
      <c r="A113" s="292" t="s">
        <v>688</v>
      </c>
      <c r="B113" s="296" t="s">
        <v>689</v>
      </c>
      <c r="C113" s="294">
        <f t="shared" ref="C113:D113" si="42">C114</f>
        <v>726.8</v>
      </c>
      <c r="D113" s="295">
        <f t="shared" si="42"/>
        <v>417.6</v>
      </c>
    </row>
    <row r="114" spans="1:4" ht="94.5">
      <c r="A114" s="292" t="s">
        <v>690</v>
      </c>
      <c r="B114" s="296" t="s">
        <v>691</v>
      </c>
      <c r="C114" s="294">
        <f>5.3+41+2.3+20+4.3+653.9</f>
        <v>726.8</v>
      </c>
      <c r="D114" s="295">
        <v>417.6</v>
      </c>
    </row>
    <row r="115" spans="1:4" ht="47.25">
      <c r="A115" s="288" t="s">
        <v>692</v>
      </c>
      <c r="B115" s="313" t="s">
        <v>693</v>
      </c>
      <c r="C115" s="290">
        <f t="shared" ref="C115:D115" si="43">C116</f>
        <v>165.4</v>
      </c>
      <c r="D115" s="291">
        <f t="shared" si="43"/>
        <v>146.9</v>
      </c>
    </row>
    <row r="116" spans="1:4" ht="47.25">
      <c r="A116" s="292" t="s">
        <v>694</v>
      </c>
      <c r="B116" s="296" t="s">
        <v>695</v>
      </c>
      <c r="C116" s="294">
        <v>165.4</v>
      </c>
      <c r="D116" s="295">
        <v>146.9</v>
      </c>
    </row>
    <row r="117" spans="1:4" ht="126">
      <c r="A117" s="288" t="s">
        <v>696</v>
      </c>
      <c r="B117" s="313" t="s">
        <v>697</v>
      </c>
      <c r="C117" s="290">
        <f>C120+C118</f>
        <v>712.5</v>
      </c>
      <c r="D117" s="291">
        <f>D120+D118</f>
        <v>1952.8</v>
      </c>
    </row>
    <row r="118" spans="1:4" ht="63">
      <c r="A118" s="292" t="s">
        <v>698</v>
      </c>
      <c r="B118" s="296" t="s">
        <v>699</v>
      </c>
      <c r="C118" s="294">
        <f>C119</f>
        <v>0</v>
      </c>
      <c r="D118" s="295">
        <f>D119</f>
        <v>1020.3</v>
      </c>
    </row>
    <row r="119" spans="1:4" ht="78.75">
      <c r="A119" s="292" t="s">
        <v>700</v>
      </c>
      <c r="B119" s="296" t="s">
        <v>701</v>
      </c>
      <c r="C119" s="294">
        <v>0</v>
      </c>
      <c r="D119" s="295">
        <v>1020.3</v>
      </c>
    </row>
    <row r="120" spans="1:4" ht="94.5">
      <c r="A120" s="292" t="s">
        <v>702</v>
      </c>
      <c r="B120" s="296" t="s">
        <v>703</v>
      </c>
      <c r="C120" s="294">
        <f>C121</f>
        <v>712.5</v>
      </c>
      <c r="D120" s="295">
        <f>D121</f>
        <v>932.5</v>
      </c>
    </row>
    <row r="121" spans="1:4" ht="78.75">
      <c r="A121" s="292" t="s">
        <v>704</v>
      </c>
      <c r="B121" s="296" t="s">
        <v>705</v>
      </c>
      <c r="C121" s="294">
        <v>712.5</v>
      </c>
      <c r="D121" s="295">
        <v>932.5</v>
      </c>
    </row>
    <row r="122" spans="1:4" ht="31.5">
      <c r="A122" s="288" t="s">
        <v>706</v>
      </c>
      <c r="B122" s="313" t="s">
        <v>707</v>
      </c>
      <c r="C122" s="290">
        <f t="shared" ref="C122:D122" si="44">C123</f>
        <v>132.5</v>
      </c>
      <c r="D122" s="307">
        <f t="shared" si="44"/>
        <v>371.09999999999997</v>
      </c>
    </row>
    <row r="123" spans="1:4" ht="78.75">
      <c r="A123" s="292" t="s">
        <v>708</v>
      </c>
      <c r="B123" s="296" t="s">
        <v>709</v>
      </c>
      <c r="C123" s="294">
        <f>C125+C124</f>
        <v>132.5</v>
      </c>
      <c r="D123" s="295">
        <f>D125+D124</f>
        <v>371.09999999999997</v>
      </c>
    </row>
    <row r="124" spans="1:4" ht="63">
      <c r="A124" s="292" t="s">
        <v>710</v>
      </c>
      <c r="B124" s="296" t="s">
        <v>711</v>
      </c>
      <c r="C124" s="294">
        <v>109.5</v>
      </c>
      <c r="D124" s="295">
        <v>369.9</v>
      </c>
    </row>
    <row r="125" spans="1:4" ht="78.75">
      <c r="A125" s="292" t="s">
        <v>712</v>
      </c>
      <c r="B125" s="296" t="s">
        <v>713</v>
      </c>
      <c r="C125" s="294">
        <v>23</v>
      </c>
      <c r="D125" s="295">
        <v>1.2</v>
      </c>
    </row>
    <row r="126" spans="1:4">
      <c r="A126" s="288" t="s">
        <v>714</v>
      </c>
      <c r="B126" s="313" t="s">
        <v>715</v>
      </c>
      <c r="C126" s="290">
        <f t="shared" ref="C126:D127" si="45">C127</f>
        <v>1866.4</v>
      </c>
      <c r="D126" s="291">
        <f t="shared" si="45"/>
        <v>1729.1</v>
      </c>
    </row>
    <row r="127" spans="1:4" ht="31.5">
      <c r="A127" s="292" t="s">
        <v>716</v>
      </c>
      <c r="B127" s="296" t="s">
        <v>717</v>
      </c>
      <c r="C127" s="294">
        <f t="shared" si="45"/>
        <v>1866.4</v>
      </c>
      <c r="D127" s="295">
        <f t="shared" si="45"/>
        <v>1729.1</v>
      </c>
    </row>
    <row r="128" spans="1:4" ht="63">
      <c r="A128" s="292" t="s">
        <v>718</v>
      </c>
      <c r="B128" s="296" t="s">
        <v>719</v>
      </c>
      <c r="C128" s="294">
        <v>1866.4</v>
      </c>
      <c r="D128" s="295">
        <v>1729.1</v>
      </c>
    </row>
    <row r="129" spans="1:4">
      <c r="A129" s="288" t="s">
        <v>720</v>
      </c>
      <c r="B129" s="313" t="s">
        <v>721</v>
      </c>
      <c r="C129" s="290">
        <f>C132+C130</f>
        <v>242.10000000000002</v>
      </c>
      <c r="D129" s="291">
        <f>D132+D130</f>
        <v>227.5</v>
      </c>
    </row>
    <row r="130" spans="1:4">
      <c r="A130" s="292" t="s">
        <v>722</v>
      </c>
      <c r="B130" s="296" t="s">
        <v>723</v>
      </c>
      <c r="C130" s="294">
        <f>C131</f>
        <v>-36</v>
      </c>
      <c r="D130" s="295">
        <f>D131</f>
        <v>-36</v>
      </c>
    </row>
    <row r="131" spans="1:4" ht="31.5">
      <c r="A131" s="292" t="s">
        <v>724</v>
      </c>
      <c r="B131" s="296" t="s">
        <v>725</v>
      </c>
      <c r="C131" s="294">
        <v>-36</v>
      </c>
      <c r="D131" s="295">
        <v>-36</v>
      </c>
    </row>
    <row r="132" spans="1:4">
      <c r="A132" s="288" t="s">
        <v>726</v>
      </c>
      <c r="B132" s="313" t="s">
        <v>727</v>
      </c>
      <c r="C132" s="290">
        <f>C133+C134</f>
        <v>278.10000000000002</v>
      </c>
      <c r="D132" s="291">
        <f>D133+D134</f>
        <v>263.5</v>
      </c>
    </row>
    <row r="133" spans="1:4" ht="78.75">
      <c r="A133" s="292" t="s">
        <v>728</v>
      </c>
      <c r="B133" s="296" t="s">
        <v>729</v>
      </c>
      <c r="C133" s="294">
        <v>192.6</v>
      </c>
      <c r="D133" s="295">
        <v>192.6</v>
      </c>
    </row>
    <row r="134" spans="1:4" ht="94.5">
      <c r="A134" s="292" t="s">
        <v>728</v>
      </c>
      <c r="B134" s="296" t="s">
        <v>730</v>
      </c>
      <c r="C134" s="294">
        <v>85.5</v>
      </c>
      <c r="D134" s="295">
        <v>70.900000000000006</v>
      </c>
    </row>
    <row r="135" spans="1:4">
      <c r="A135" s="288" t="s">
        <v>731</v>
      </c>
      <c r="B135" s="289" t="s">
        <v>732</v>
      </c>
      <c r="C135" s="290">
        <f>C136+C196+C200</f>
        <v>738133</v>
      </c>
      <c r="D135" s="290">
        <f>D136+D196+D200</f>
        <v>635998.10000000009</v>
      </c>
    </row>
    <row r="136" spans="1:4" ht="47.25">
      <c r="A136" s="311" t="s">
        <v>733</v>
      </c>
      <c r="B136" s="289" t="s">
        <v>734</v>
      </c>
      <c r="C136" s="290">
        <f>C174+C142+C191+C137</f>
        <v>738133</v>
      </c>
      <c r="D136" s="291">
        <f>D174+D142+D191+D137</f>
        <v>636296.4</v>
      </c>
    </row>
    <row r="137" spans="1:4" ht="31.5">
      <c r="A137" s="315" t="s">
        <v>735</v>
      </c>
      <c r="B137" s="316" t="s">
        <v>736</v>
      </c>
      <c r="C137" s="290">
        <f>C138+C140</f>
        <v>9669.6</v>
      </c>
      <c r="D137" s="291">
        <f>D138+D140</f>
        <v>9669.6</v>
      </c>
    </row>
    <row r="138" spans="1:4" ht="31.5">
      <c r="A138" s="317" t="s">
        <v>737</v>
      </c>
      <c r="B138" s="318" t="s">
        <v>738</v>
      </c>
      <c r="C138" s="294">
        <f>C139</f>
        <v>8628</v>
      </c>
      <c r="D138" s="295">
        <f>D139</f>
        <v>8628</v>
      </c>
    </row>
    <row r="139" spans="1:4" ht="31.5">
      <c r="A139" s="317" t="s">
        <v>739</v>
      </c>
      <c r="B139" s="318" t="s">
        <v>740</v>
      </c>
      <c r="C139" s="294">
        <v>8628</v>
      </c>
      <c r="D139" s="295">
        <v>8628</v>
      </c>
    </row>
    <row r="140" spans="1:4" ht="31.5">
      <c r="A140" s="317" t="s">
        <v>741</v>
      </c>
      <c r="B140" s="293" t="s">
        <v>742</v>
      </c>
      <c r="C140" s="294">
        <f>C141</f>
        <v>1041.5999999999999</v>
      </c>
      <c r="D140" s="295">
        <f>D141</f>
        <v>1041.5999999999999</v>
      </c>
    </row>
    <row r="141" spans="1:4" ht="31.5">
      <c r="A141" s="317" t="s">
        <v>743</v>
      </c>
      <c r="B141" s="115" t="s">
        <v>744</v>
      </c>
      <c r="C141" s="294">
        <v>1041.5999999999999</v>
      </c>
      <c r="D141" s="295">
        <v>1041.5999999999999</v>
      </c>
    </row>
    <row r="142" spans="1:4" ht="31.5">
      <c r="A142" s="319" t="s">
        <v>745</v>
      </c>
      <c r="B142" s="320" t="s">
        <v>746</v>
      </c>
      <c r="C142" s="290">
        <f>C160+C146+C158+C150+C143+C154+C156+C152</f>
        <v>284459.3</v>
      </c>
      <c r="D142" s="291">
        <f>D160+D146+D158+D150+D143+D154+D156+D152</f>
        <v>183744.8</v>
      </c>
    </row>
    <row r="143" spans="1:4" ht="31.5">
      <c r="A143" s="321" t="s">
        <v>747</v>
      </c>
      <c r="B143" s="318" t="s">
        <v>748</v>
      </c>
      <c r="C143" s="294">
        <f>C144</f>
        <v>114167.6</v>
      </c>
      <c r="D143" s="295">
        <f>D144</f>
        <v>16508.7</v>
      </c>
    </row>
    <row r="144" spans="1:4" ht="47.25">
      <c r="A144" s="321" t="s">
        <v>749</v>
      </c>
      <c r="B144" s="318" t="s">
        <v>750</v>
      </c>
      <c r="C144" s="294">
        <f>C145</f>
        <v>114167.6</v>
      </c>
      <c r="D144" s="295">
        <f>D145</f>
        <v>16508.7</v>
      </c>
    </row>
    <row r="145" spans="1:4" ht="47.25">
      <c r="A145" s="321" t="s">
        <v>749</v>
      </c>
      <c r="B145" s="318" t="s">
        <v>751</v>
      </c>
      <c r="C145" s="294">
        <f>124851.8+18924.2-29608.4</f>
        <v>114167.6</v>
      </c>
      <c r="D145" s="295">
        <v>16508.7</v>
      </c>
    </row>
    <row r="146" spans="1:4" ht="78.75">
      <c r="A146" s="322" t="s">
        <v>752</v>
      </c>
      <c r="B146" s="323" t="s">
        <v>753</v>
      </c>
      <c r="C146" s="294">
        <f t="shared" ref="C146:D146" si="46">C147+C148+C149</f>
        <v>48060.299999999996</v>
      </c>
      <c r="D146" s="295">
        <f t="shared" si="46"/>
        <v>45081.599999999991</v>
      </c>
    </row>
    <row r="147" spans="1:4" ht="31.5">
      <c r="A147" s="322" t="s">
        <v>754</v>
      </c>
      <c r="B147" s="293" t="s">
        <v>755</v>
      </c>
      <c r="C147" s="294">
        <f>51703.1-16441</f>
        <v>35262.1</v>
      </c>
      <c r="D147" s="295">
        <v>33406.1</v>
      </c>
    </row>
    <row r="148" spans="1:4" ht="47.25">
      <c r="A148" s="322" t="s">
        <v>754</v>
      </c>
      <c r="B148" s="293" t="s">
        <v>756</v>
      </c>
      <c r="C148" s="294">
        <v>10482</v>
      </c>
      <c r="D148" s="295">
        <v>9359.2999999999993</v>
      </c>
    </row>
    <row r="149" spans="1:4" ht="47.25">
      <c r="A149" s="322" t="s">
        <v>754</v>
      </c>
      <c r="B149" s="293" t="s">
        <v>757</v>
      </c>
      <c r="C149" s="294">
        <f>2720.5-404.3</f>
        <v>2316.1999999999998</v>
      </c>
      <c r="D149" s="295">
        <v>2316.1999999999998</v>
      </c>
    </row>
    <row r="150" spans="1:4" ht="63">
      <c r="A150" s="322" t="s">
        <v>758</v>
      </c>
      <c r="B150" s="293" t="s">
        <v>759</v>
      </c>
      <c r="C150" s="294">
        <f t="shared" ref="C150:D150" si="47">C151</f>
        <v>22504.3</v>
      </c>
      <c r="D150" s="295">
        <f t="shared" si="47"/>
        <v>22504.3</v>
      </c>
    </row>
    <row r="151" spans="1:4" ht="63">
      <c r="A151" s="322" t="s">
        <v>760</v>
      </c>
      <c r="B151" s="293" t="s">
        <v>761</v>
      </c>
      <c r="C151" s="294">
        <v>22504.3</v>
      </c>
      <c r="D151" s="295">
        <v>22504.3</v>
      </c>
    </row>
    <row r="152" spans="1:4" ht="47.25">
      <c r="A152" s="322" t="s">
        <v>762</v>
      </c>
      <c r="B152" s="293" t="s">
        <v>763</v>
      </c>
      <c r="C152" s="294">
        <f>C153</f>
        <v>508.2</v>
      </c>
      <c r="D152" s="295">
        <f>D153</f>
        <v>508.1</v>
      </c>
    </row>
    <row r="153" spans="1:4" ht="47.25">
      <c r="A153" s="322" t="s">
        <v>764</v>
      </c>
      <c r="B153" s="293" t="s">
        <v>765</v>
      </c>
      <c r="C153" s="294">
        <v>508.2</v>
      </c>
      <c r="D153" s="295">
        <v>508.1</v>
      </c>
    </row>
    <row r="154" spans="1:4" ht="31.5">
      <c r="A154" s="324" t="s">
        <v>766</v>
      </c>
      <c r="B154" s="325" t="s">
        <v>767</v>
      </c>
      <c r="C154" s="294">
        <f>C155</f>
        <v>6694.6</v>
      </c>
      <c r="D154" s="295">
        <f>D155</f>
        <v>6694.6</v>
      </c>
    </row>
    <row r="155" spans="1:4" ht="31.5">
      <c r="A155" s="324" t="s">
        <v>768</v>
      </c>
      <c r="B155" s="325" t="s">
        <v>769</v>
      </c>
      <c r="C155" s="294">
        <v>6694.6</v>
      </c>
      <c r="D155" s="295">
        <v>6694.6</v>
      </c>
    </row>
    <row r="156" spans="1:4">
      <c r="A156" s="326" t="s">
        <v>770</v>
      </c>
      <c r="B156" s="327" t="s">
        <v>771</v>
      </c>
      <c r="C156" s="294">
        <f>C157</f>
        <v>2863.3</v>
      </c>
      <c r="D156" s="295">
        <f>D157</f>
        <v>2863.3</v>
      </c>
    </row>
    <row r="157" spans="1:4" ht="31.5">
      <c r="A157" s="326" t="s">
        <v>772</v>
      </c>
      <c r="B157" s="327" t="s">
        <v>773</v>
      </c>
      <c r="C157" s="294">
        <f>2663.3+200</f>
        <v>2863.3</v>
      </c>
      <c r="D157" s="295">
        <v>2863.3</v>
      </c>
    </row>
    <row r="158" spans="1:4" ht="31.5">
      <c r="A158" s="328" t="s">
        <v>774</v>
      </c>
      <c r="B158" s="329" t="s">
        <v>775</v>
      </c>
      <c r="C158" s="294">
        <f t="shared" ref="C158:D158" si="48">C159</f>
        <v>15363.7</v>
      </c>
      <c r="D158" s="295">
        <f t="shared" si="48"/>
        <v>15363.7</v>
      </c>
    </row>
    <row r="159" spans="1:4" ht="31.5">
      <c r="A159" s="328" t="s">
        <v>776</v>
      </c>
      <c r="B159" s="329" t="s">
        <v>777</v>
      </c>
      <c r="C159" s="294">
        <v>15363.7</v>
      </c>
      <c r="D159" s="295">
        <v>15363.7</v>
      </c>
    </row>
    <row r="160" spans="1:4">
      <c r="A160" s="330" t="s">
        <v>778</v>
      </c>
      <c r="B160" s="318" t="s">
        <v>779</v>
      </c>
      <c r="C160" s="294">
        <f>C161+C162+C163+C164+C165+C167+C168+C169+C171+C166+C170+C172+C173</f>
        <v>74297.3</v>
      </c>
      <c r="D160" s="295">
        <f>D161+D162+D163+D164+D165+D167+D168+D169+D171+D166+D170+D172+D173</f>
        <v>74220.5</v>
      </c>
    </row>
    <row r="161" spans="1:4" ht="31.5">
      <c r="A161" s="322" t="s">
        <v>780</v>
      </c>
      <c r="B161" s="293" t="s">
        <v>781</v>
      </c>
      <c r="C161" s="294">
        <v>130.4</v>
      </c>
      <c r="D161" s="295">
        <v>130.4</v>
      </c>
    </row>
    <row r="162" spans="1:4" ht="31.5">
      <c r="A162" s="322" t="s">
        <v>780</v>
      </c>
      <c r="B162" s="293" t="s">
        <v>782</v>
      </c>
      <c r="C162" s="294">
        <v>3051.4</v>
      </c>
      <c r="D162" s="295">
        <v>3051.4</v>
      </c>
    </row>
    <row r="163" spans="1:4" ht="47.25">
      <c r="A163" s="322" t="s">
        <v>780</v>
      </c>
      <c r="B163" s="293" t="s">
        <v>783</v>
      </c>
      <c r="C163" s="294">
        <f>19234.2+6500.1</f>
        <v>25734.300000000003</v>
      </c>
      <c r="D163" s="295">
        <v>25734.3</v>
      </c>
    </row>
    <row r="164" spans="1:4">
      <c r="A164" s="322" t="s">
        <v>784</v>
      </c>
      <c r="B164" s="331" t="s">
        <v>785</v>
      </c>
      <c r="C164" s="294">
        <v>490.7</v>
      </c>
      <c r="D164" s="295">
        <v>490.7</v>
      </c>
    </row>
    <row r="165" spans="1:4" ht="47.25">
      <c r="A165" s="322" t="s">
        <v>780</v>
      </c>
      <c r="B165" s="293" t="s">
        <v>786</v>
      </c>
      <c r="C165" s="294">
        <f>12257.1+1527.9</f>
        <v>13785</v>
      </c>
      <c r="D165" s="295">
        <v>13785</v>
      </c>
    </row>
    <row r="166" spans="1:4" ht="31.5">
      <c r="A166" s="332" t="s">
        <v>780</v>
      </c>
      <c r="B166" s="333" t="s">
        <v>787</v>
      </c>
      <c r="C166" s="294">
        <v>2733.3</v>
      </c>
      <c r="D166" s="295">
        <v>2733.3</v>
      </c>
    </row>
    <row r="167" spans="1:4" ht="31.5">
      <c r="A167" s="334" t="s">
        <v>780</v>
      </c>
      <c r="B167" s="335" t="s">
        <v>788</v>
      </c>
      <c r="C167" s="336">
        <f>2727.5+15246.5+503.6-816.3</f>
        <v>17661.3</v>
      </c>
      <c r="D167" s="337">
        <v>17651.5</v>
      </c>
    </row>
    <row r="168" spans="1:4" ht="31.5">
      <c r="A168" s="334" t="s">
        <v>780</v>
      </c>
      <c r="B168" s="335" t="s">
        <v>789</v>
      </c>
      <c r="C168" s="336">
        <f>1579-326-26.5</f>
        <v>1226.5</v>
      </c>
      <c r="D168" s="337">
        <v>1226.5</v>
      </c>
    </row>
    <row r="169" spans="1:4" ht="78.75">
      <c r="A169" s="334" t="s">
        <v>780</v>
      </c>
      <c r="B169" s="335" t="s">
        <v>790</v>
      </c>
      <c r="C169" s="336">
        <f>818.2-279</f>
        <v>539.20000000000005</v>
      </c>
      <c r="D169" s="337">
        <v>539.20000000000005</v>
      </c>
    </row>
    <row r="170" spans="1:4" ht="78.75">
      <c r="A170" s="334" t="s">
        <v>780</v>
      </c>
      <c r="B170" s="335" t="s">
        <v>791</v>
      </c>
      <c r="C170" s="336">
        <f>707.7-120.8</f>
        <v>586.90000000000009</v>
      </c>
      <c r="D170" s="337">
        <v>586.9</v>
      </c>
    </row>
    <row r="171" spans="1:4" ht="31.5">
      <c r="A171" s="338" t="s">
        <v>784</v>
      </c>
      <c r="B171" s="339" t="s">
        <v>792</v>
      </c>
      <c r="C171" s="336">
        <f>2461.2+3124.6</f>
        <v>5585.7999999999993</v>
      </c>
      <c r="D171" s="337">
        <v>5585.8</v>
      </c>
    </row>
    <row r="172" spans="1:4" ht="47.25">
      <c r="A172" s="340" t="s">
        <v>784</v>
      </c>
      <c r="B172" s="341" t="s">
        <v>793</v>
      </c>
      <c r="C172" s="336">
        <v>2460.9</v>
      </c>
      <c r="D172" s="337">
        <v>2460.9</v>
      </c>
    </row>
    <row r="173" spans="1:4" ht="63">
      <c r="A173" s="340" t="s">
        <v>780</v>
      </c>
      <c r="B173" s="341" t="s">
        <v>794</v>
      </c>
      <c r="C173" s="336">
        <v>311.60000000000002</v>
      </c>
      <c r="D173" s="337">
        <v>244.6</v>
      </c>
    </row>
    <row r="174" spans="1:4" ht="31.5">
      <c r="A174" s="311" t="s">
        <v>795</v>
      </c>
      <c r="B174" s="289" t="s">
        <v>796</v>
      </c>
      <c r="C174" s="290">
        <f>C183+C185+C175+C177+C181+C179</f>
        <v>442194.3</v>
      </c>
      <c r="D174" s="291">
        <f>D183+D185+D175+D177+D181+D179</f>
        <v>441151.5</v>
      </c>
    </row>
    <row r="175" spans="1:4" ht="78.75">
      <c r="A175" s="292" t="s">
        <v>797</v>
      </c>
      <c r="B175" s="293" t="s">
        <v>798</v>
      </c>
      <c r="C175" s="294">
        <f t="shared" ref="C175:D175" si="49">C176</f>
        <v>9592.7000000000007</v>
      </c>
      <c r="D175" s="295">
        <f t="shared" si="49"/>
        <v>8550</v>
      </c>
    </row>
    <row r="176" spans="1:4" ht="78.75">
      <c r="A176" s="308" t="s">
        <v>799</v>
      </c>
      <c r="B176" s="293" t="s">
        <v>800</v>
      </c>
      <c r="C176" s="294">
        <v>9592.7000000000007</v>
      </c>
      <c r="D176" s="295">
        <v>8550</v>
      </c>
    </row>
    <row r="177" spans="1:4" ht="63">
      <c r="A177" s="292" t="s">
        <v>801</v>
      </c>
      <c r="B177" s="293" t="s">
        <v>802</v>
      </c>
      <c r="C177" s="294">
        <f t="shared" ref="C177:D177" si="50">C178</f>
        <v>4.5999999999999996</v>
      </c>
      <c r="D177" s="295">
        <f t="shared" si="50"/>
        <v>4.5999999999999996</v>
      </c>
    </row>
    <row r="178" spans="1:4" ht="63">
      <c r="A178" s="292" t="s">
        <v>803</v>
      </c>
      <c r="B178" s="293" t="s">
        <v>804</v>
      </c>
      <c r="C178" s="294">
        <v>4.5999999999999996</v>
      </c>
      <c r="D178" s="295">
        <v>4.5999999999999996</v>
      </c>
    </row>
    <row r="179" spans="1:4" ht="63">
      <c r="A179" s="292" t="s">
        <v>805</v>
      </c>
      <c r="B179" s="293" t="s">
        <v>806</v>
      </c>
      <c r="C179" s="294">
        <f>C180</f>
        <v>776.8</v>
      </c>
      <c r="D179" s="295">
        <f>D180</f>
        <v>776.8</v>
      </c>
    </row>
    <row r="180" spans="1:4" ht="78.75">
      <c r="A180" s="292" t="s">
        <v>807</v>
      </c>
      <c r="B180" s="293" t="s">
        <v>808</v>
      </c>
      <c r="C180" s="294">
        <v>776.8</v>
      </c>
      <c r="D180" s="295">
        <v>776.8</v>
      </c>
    </row>
    <row r="181" spans="1:4" ht="63">
      <c r="A181" s="292" t="s">
        <v>809</v>
      </c>
      <c r="B181" s="293" t="s">
        <v>810</v>
      </c>
      <c r="C181" s="294">
        <f t="shared" ref="C181:D181" si="51">C182</f>
        <v>14270</v>
      </c>
      <c r="D181" s="295">
        <f t="shared" si="51"/>
        <v>14270</v>
      </c>
    </row>
    <row r="182" spans="1:4" ht="63">
      <c r="A182" s="292" t="s">
        <v>811</v>
      </c>
      <c r="B182" s="293" t="s">
        <v>812</v>
      </c>
      <c r="C182" s="294">
        <f>14169.6+100.4</f>
        <v>14270</v>
      </c>
      <c r="D182" s="295">
        <v>14270</v>
      </c>
    </row>
    <row r="183" spans="1:4" ht="31.5">
      <c r="A183" s="292" t="s">
        <v>813</v>
      </c>
      <c r="B183" s="293" t="s">
        <v>814</v>
      </c>
      <c r="C183" s="294">
        <f t="shared" ref="C183:D183" si="52">C184</f>
        <v>1462.2</v>
      </c>
      <c r="D183" s="295">
        <f t="shared" si="52"/>
        <v>1462.2</v>
      </c>
    </row>
    <row r="184" spans="1:4" ht="31.5">
      <c r="A184" s="292" t="s">
        <v>815</v>
      </c>
      <c r="B184" s="293" t="s">
        <v>816</v>
      </c>
      <c r="C184" s="294">
        <v>1462.2</v>
      </c>
      <c r="D184" s="295">
        <v>1462.2</v>
      </c>
    </row>
    <row r="185" spans="1:4">
      <c r="A185" s="288" t="s">
        <v>817</v>
      </c>
      <c r="B185" s="289" t="s">
        <v>818</v>
      </c>
      <c r="C185" s="290">
        <f t="shared" ref="C185:D185" si="53">SUM(C186:C190)</f>
        <v>416088</v>
      </c>
      <c r="D185" s="291">
        <f t="shared" si="53"/>
        <v>416087.9</v>
      </c>
    </row>
    <row r="186" spans="1:4" ht="94.5">
      <c r="A186" s="292" t="s">
        <v>819</v>
      </c>
      <c r="B186" s="293" t="s">
        <v>820</v>
      </c>
      <c r="C186" s="294">
        <f>228627.8+29532.9+667.6</f>
        <v>258828.3</v>
      </c>
      <c r="D186" s="295">
        <v>258828.3</v>
      </c>
    </row>
    <row r="187" spans="1:4" ht="63">
      <c r="A187" s="292" t="s">
        <v>819</v>
      </c>
      <c r="B187" s="293" t="s">
        <v>821</v>
      </c>
      <c r="C187" s="294">
        <f>136227.8+11818.2+155</f>
        <v>148201</v>
      </c>
      <c r="D187" s="295">
        <v>148201</v>
      </c>
    </row>
    <row r="188" spans="1:4" ht="47.25">
      <c r="A188" s="292" t="s">
        <v>819</v>
      </c>
      <c r="B188" s="293" t="s">
        <v>822</v>
      </c>
      <c r="C188" s="294">
        <v>733.2</v>
      </c>
      <c r="D188" s="295">
        <v>733.2</v>
      </c>
    </row>
    <row r="189" spans="1:4" s="302" customFormat="1" ht="63">
      <c r="A189" s="292" t="s">
        <v>819</v>
      </c>
      <c r="B189" s="293" t="s">
        <v>823</v>
      </c>
      <c r="C189" s="294">
        <v>319.5</v>
      </c>
      <c r="D189" s="295">
        <v>319.5</v>
      </c>
    </row>
    <row r="190" spans="1:4" ht="78.75">
      <c r="A190" s="292" t="s">
        <v>819</v>
      </c>
      <c r="B190" s="293" t="s">
        <v>824</v>
      </c>
      <c r="C190" s="294">
        <f>3202.4+4803.6</f>
        <v>8006</v>
      </c>
      <c r="D190" s="295">
        <v>8005.9</v>
      </c>
    </row>
    <row r="191" spans="1:4">
      <c r="A191" s="342" t="s">
        <v>825</v>
      </c>
      <c r="B191" s="343" t="s">
        <v>826</v>
      </c>
      <c r="C191" s="290">
        <f>C192</f>
        <v>1809.8</v>
      </c>
      <c r="D191" s="291">
        <f>D192</f>
        <v>1730.5</v>
      </c>
    </row>
    <row r="192" spans="1:4" s="344" customFormat="1" ht="31.5">
      <c r="A192" s="342" t="s">
        <v>827</v>
      </c>
      <c r="B192" s="343" t="s">
        <v>828</v>
      </c>
      <c r="C192" s="290">
        <f>C193+C194+C195</f>
        <v>1809.8</v>
      </c>
      <c r="D192" s="291">
        <f>D193+D194+D195</f>
        <v>1730.5</v>
      </c>
    </row>
    <row r="193" spans="1:4" s="344" customFormat="1" ht="47.25">
      <c r="A193" s="345" t="s">
        <v>829</v>
      </c>
      <c r="B193" s="346" t="s">
        <v>830</v>
      </c>
      <c r="C193" s="294">
        <v>1000</v>
      </c>
      <c r="D193" s="295">
        <v>920.7</v>
      </c>
    </row>
    <row r="194" spans="1:4" s="344" customFormat="1" ht="78.75">
      <c r="A194" s="347" t="s">
        <v>829</v>
      </c>
      <c r="B194" s="327" t="s">
        <v>831</v>
      </c>
      <c r="C194" s="294">
        <v>509.8</v>
      </c>
      <c r="D194" s="295">
        <v>509.8</v>
      </c>
    </row>
    <row r="195" spans="1:4" s="344" customFormat="1" ht="47.25">
      <c r="A195" s="348" t="s">
        <v>829</v>
      </c>
      <c r="B195" s="349" t="s">
        <v>832</v>
      </c>
      <c r="C195" s="294">
        <v>300</v>
      </c>
      <c r="D195" s="295">
        <v>300</v>
      </c>
    </row>
    <row r="196" spans="1:4" s="344" customFormat="1" ht="94.5">
      <c r="A196" s="350" t="s">
        <v>833</v>
      </c>
      <c r="B196" s="351" t="s">
        <v>834</v>
      </c>
      <c r="C196" s="352">
        <f t="shared" ref="C196:D198" si="54">C197</f>
        <v>0</v>
      </c>
      <c r="D196" s="352">
        <f t="shared" si="54"/>
        <v>821.9</v>
      </c>
    </row>
    <row r="197" spans="1:4" s="344" customFormat="1" ht="78.75">
      <c r="A197" s="353" t="s">
        <v>835</v>
      </c>
      <c r="B197" s="346" t="s">
        <v>836</v>
      </c>
      <c r="C197" s="354">
        <f t="shared" si="54"/>
        <v>0</v>
      </c>
      <c r="D197" s="354">
        <f t="shared" si="54"/>
        <v>821.9</v>
      </c>
    </row>
    <row r="198" spans="1:4" s="344" customFormat="1" ht="31.5">
      <c r="A198" s="353" t="s">
        <v>837</v>
      </c>
      <c r="B198" s="346" t="s">
        <v>838</v>
      </c>
      <c r="C198" s="354">
        <f t="shared" si="54"/>
        <v>0</v>
      </c>
      <c r="D198" s="354">
        <f t="shared" si="54"/>
        <v>821.9</v>
      </c>
    </row>
    <row r="199" spans="1:4" s="344" customFormat="1" ht="31.5">
      <c r="A199" s="353" t="s">
        <v>839</v>
      </c>
      <c r="B199" s="346" t="s">
        <v>840</v>
      </c>
      <c r="C199" s="354">
        <v>0</v>
      </c>
      <c r="D199" s="355">
        <v>821.9</v>
      </c>
    </row>
    <row r="200" spans="1:4" s="344" customFormat="1" ht="47.25">
      <c r="A200" s="356" t="s">
        <v>841</v>
      </c>
      <c r="B200" s="357" t="s">
        <v>842</v>
      </c>
      <c r="C200" s="352">
        <f>C201</f>
        <v>0</v>
      </c>
      <c r="D200" s="352">
        <f>D201</f>
        <v>-1120.2</v>
      </c>
    </row>
    <row r="201" spans="1:4" s="344" customFormat="1" ht="47.25">
      <c r="A201" s="356" t="s">
        <v>843</v>
      </c>
      <c r="B201" s="357" t="s">
        <v>844</v>
      </c>
      <c r="C201" s="352">
        <f>SUM(C202:C203)</f>
        <v>0</v>
      </c>
      <c r="D201" s="352">
        <f>SUM(D202:D203)</f>
        <v>-1120.2</v>
      </c>
    </row>
    <row r="202" spans="1:4" s="344" customFormat="1" ht="78.75">
      <c r="A202" s="353" t="s">
        <v>845</v>
      </c>
      <c r="B202" s="346" t="s">
        <v>846</v>
      </c>
      <c r="C202" s="354">
        <v>0</v>
      </c>
      <c r="D202" s="355">
        <v>-821.9</v>
      </c>
    </row>
    <row r="203" spans="1:4" s="344" customFormat="1" ht="47.25">
      <c r="A203" s="353" t="s">
        <v>847</v>
      </c>
      <c r="B203" s="346" t="s">
        <v>848</v>
      </c>
      <c r="C203" s="354">
        <v>0</v>
      </c>
      <c r="D203" s="355">
        <v>-298.3</v>
      </c>
    </row>
    <row r="204" spans="1:4" s="344" customFormat="1">
      <c r="A204" s="288"/>
      <c r="B204" s="358" t="s">
        <v>849</v>
      </c>
      <c r="C204" s="290">
        <f>C9+C135</f>
        <v>1229965.8999999999</v>
      </c>
      <c r="D204" s="291">
        <f>D9+D135</f>
        <v>1204487.1000000001</v>
      </c>
    </row>
  </sheetData>
  <mergeCells count="4">
    <mergeCell ref="A1:D1"/>
    <mergeCell ref="A2:D2"/>
    <mergeCell ref="A3:D3"/>
    <mergeCell ref="A6:D6"/>
  </mergeCells>
  <pageMargins left="0.78740157480314965" right="0.19685039370078741" top="0.19685039370078741" bottom="0.19685039370078741" header="0.31496062992125984" footer="0.31496062992125984"/>
  <pageSetup paperSize="9" scale="74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143"/>
  <sheetViews>
    <sheetView topLeftCell="A100" workbookViewId="0">
      <selection activeCell="F68" sqref="F68"/>
    </sheetView>
  </sheetViews>
  <sheetFormatPr defaultColWidth="9.140625" defaultRowHeight="15.75"/>
  <cols>
    <col min="1" max="1" width="10.28515625" style="390" customWidth="1"/>
    <col min="2" max="2" width="68.5703125" style="391" customWidth="1"/>
    <col min="3" max="3" width="28.85546875" style="361" customWidth="1"/>
    <col min="4" max="4" width="14.7109375" style="392" customWidth="1"/>
    <col min="5" max="5" width="15.7109375" style="361" bestFit="1" customWidth="1"/>
    <col min="6" max="6" width="20.7109375" style="361" customWidth="1"/>
    <col min="7" max="16384" width="9.140625" style="361"/>
  </cols>
  <sheetData>
    <row r="1" spans="1:7">
      <c r="A1" s="360"/>
      <c r="B1" s="428" t="s">
        <v>850</v>
      </c>
      <c r="C1" s="428"/>
      <c r="D1" s="428"/>
    </row>
    <row r="2" spans="1:7">
      <c r="A2" s="360"/>
      <c r="B2" s="428" t="s">
        <v>478</v>
      </c>
      <c r="C2" s="428"/>
      <c r="D2" s="428"/>
    </row>
    <row r="3" spans="1:7">
      <c r="A3" s="360"/>
      <c r="B3" s="428" t="s">
        <v>1076</v>
      </c>
      <c r="C3" s="428"/>
      <c r="D3" s="428"/>
    </row>
    <row r="5" spans="1:7" ht="31.5" customHeight="1">
      <c r="A5" s="429" t="s">
        <v>1077</v>
      </c>
      <c r="B5" s="429"/>
      <c r="C5" s="429"/>
      <c r="D5" s="429"/>
    </row>
    <row r="7" spans="1:7">
      <c r="A7" s="430" t="s">
        <v>851</v>
      </c>
      <c r="B7" s="430" t="s">
        <v>852</v>
      </c>
      <c r="C7" s="430" t="s">
        <v>853</v>
      </c>
      <c r="D7" s="431" t="s">
        <v>854</v>
      </c>
    </row>
    <row r="8" spans="1:7">
      <c r="A8" s="430"/>
      <c r="B8" s="430"/>
      <c r="C8" s="430"/>
      <c r="D8" s="431"/>
    </row>
    <row r="9" spans="1:7" s="363" customFormat="1" ht="21.75" customHeight="1">
      <c r="A9" s="362" t="s">
        <v>855</v>
      </c>
      <c r="B9" s="433" t="s">
        <v>265</v>
      </c>
      <c r="C9" s="433"/>
      <c r="D9" s="433"/>
      <c r="E9" s="363" t="s">
        <v>856</v>
      </c>
    </row>
    <row r="10" spans="1:7" s="363" customFormat="1" ht="94.5">
      <c r="A10" s="362"/>
      <c r="B10" s="364" t="s">
        <v>591</v>
      </c>
      <c r="C10" s="365" t="s">
        <v>857</v>
      </c>
      <c r="D10" s="366">
        <v>225.1</v>
      </c>
    </row>
    <row r="11" spans="1:7" s="363" customFormat="1" ht="31.5">
      <c r="A11" s="367"/>
      <c r="B11" s="368" t="s">
        <v>611</v>
      </c>
      <c r="C11" s="365" t="s">
        <v>858</v>
      </c>
      <c r="D11" s="369">
        <v>2036.2</v>
      </c>
    </row>
    <row r="12" spans="1:7" ht="47.25">
      <c r="A12" s="370"/>
      <c r="B12" s="368" t="s">
        <v>695</v>
      </c>
      <c r="C12" s="365" t="s">
        <v>859</v>
      </c>
      <c r="D12" s="369">
        <v>146.9</v>
      </c>
      <c r="G12" s="371"/>
    </row>
    <row r="13" spans="1:7" ht="78.75">
      <c r="A13" s="370"/>
      <c r="B13" s="368" t="s">
        <v>701</v>
      </c>
      <c r="C13" s="365" t="s">
        <v>860</v>
      </c>
      <c r="D13" s="369">
        <v>1020.3</v>
      </c>
      <c r="G13" s="371"/>
    </row>
    <row r="14" spans="1:7" ht="78.75">
      <c r="A14" s="370"/>
      <c r="B14" s="368" t="s">
        <v>705</v>
      </c>
      <c r="C14" s="365" t="s">
        <v>861</v>
      </c>
      <c r="D14" s="369">
        <v>0.1</v>
      </c>
      <c r="G14" s="371"/>
    </row>
    <row r="15" spans="1:7" ht="157.5">
      <c r="A15" s="370"/>
      <c r="B15" s="368" t="s">
        <v>862</v>
      </c>
      <c r="C15" s="365" t="s">
        <v>863</v>
      </c>
      <c r="D15" s="369">
        <v>0.3</v>
      </c>
    </row>
    <row r="16" spans="1:7" ht="63">
      <c r="A16" s="370"/>
      <c r="B16" s="368" t="s">
        <v>719</v>
      </c>
      <c r="C16" s="365" t="s">
        <v>864</v>
      </c>
      <c r="D16" s="369">
        <v>1729.1</v>
      </c>
    </row>
    <row r="17" spans="1:4" ht="94.5">
      <c r="A17" s="370"/>
      <c r="B17" s="368" t="s">
        <v>865</v>
      </c>
      <c r="C17" s="365" t="s">
        <v>866</v>
      </c>
      <c r="D17" s="369">
        <v>192.6</v>
      </c>
    </row>
    <row r="18" spans="1:4" ht="110.25">
      <c r="A18" s="370"/>
      <c r="B18" s="368" t="s">
        <v>867</v>
      </c>
      <c r="C18" s="365" t="s">
        <v>868</v>
      </c>
      <c r="D18" s="369">
        <v>70.900000000000006</v>
      </c>
    </row>
    <row r="19" spans="1:4" s="373" customFormat="1" ht="31.5">
      <c r="A19" s="370"/>
      <c r="B19" s="372" t="s">
        <v>840</v>
      </c>
      <c r="C19" s="365" t="s">
        <v>869</v>
      </c>
      <c r="D19" s="369">
        <v>821.9</v>
      </c>
    </row>
    <row r="20" spans="1:4" s="363" customFormat="1">
      <c r="A20" s="362" t="s">
        <v>870</v>
      </c>
      <c r="B20" s="432" t="s">
        <v>269</v>
      </c>
      <c r="C20" s="432"/>
      <c r="D20" s="432"/>
    </row>
    <row r="21" spans="1:4" s="363" customFormat="1" ht="31.5">
      <c r="A21" s="367"/>
      <c r="B21" s="374" t="s">
        <v>740</v>
      </c>
      <c r="C21" s="375" t="s">
        <v>871</v>
      </c>
      <c r="D21" s="376">
        <v>8628</v>
      </c>
    </row>
    <row r="22" spans="1:4" s="363" customFormat="1" ht="31.5">
      <c r="A22" s="367"/>
      <c r="B22" s="374" t="s">
        <v>744</v>
      </c>
      <c r="C22" s="375" t="s">
        <v>872</v>
      </c>
      <c r="D22" s="376">
        <v>1041.5999999999999</v>
      </c>
    </row>
    <row r="23" spans="1:4" s="363" customFormat="1" ht="78.75">
      <c r="A23" s="367"/>
      <c r="B23" s="374" t="s">
        <v>873</v>
      </c>
      <c r="C23" s="377" t="s">
        <v>874</v>
      </c>
      <c r="D23" s="376">
        <v>16508.7</v>
      </c>
    </row>
    <row r="24" spans="1:4" s="363" customFormat="1" ht="126">
      <c r="A24" s="367"/>
      <c r="B24" s="378" t="s">
        <v>875</v>
      </c>
      <c r="C24" s="377" t="s">
        <v>876</v>
      </c>
      <c r="D24" s="376">
        <v>9359.2999999999993</v>
      </c>
    </row>
    <row r="25" spans="1:4" s="363" customFormat="1" ht="110.25">
      <c r="A25" s="370"/>
      <c r="B25" s="378" t="s">
        <v>877</v>
      </c>
      <c r="C25" s="377" t="s">
        <v>878</v>
      </c>
      <c r="D25" s="369">
        <v>33406.1</v>
      </c>
    </row>
    <row r="26" spans="1:4" s="363" customFormat="1" ht="126">
      <c r="A26" s="370"/>
      <c r="B26" s="378" t="s">
        <v>879</v>
      </c>
      <c r="C26" s="377" t="s">
        <v>880</v>
      </c>
      <c r="D26" s="369">
        <v>2316.1999999999998</v>
      </c>
    </row>
    <row r="27" spans="1:4" s="363" customFormat="1" ht="63">
      <c r="A27" s="370"/>
      <c r="B27" s="368" t="s">
        <v>761</v>
      </c>
      <c r="C27" s="365" t="s">
        <v>881</v>
      </c>
      <c r="D27" s="369">
        <v>22504.3</v>
      </c>
    </row>
    <row r="28" spans="1:4" s="363" customFormat="1" ht="47.25">
      <c r="A28" s="370"/>
      <c r="B28" s="368" t="s">
        <v>765</v>
      </c>
      <c r="C28" s="365" t="s">
        <v>882</v>
      </c>
      <c r="D28" s="369">
        <v>508.1</v>
      </c>
    </row>
    <row r="29" spans="1:4" s="363" customFormat="1" ht="31.5">
      <c r="A29" s="370"/>
      <c r="B29" s="378" t="s">
        <v>769</v>
      </c>
      <c r="C29" s="365" t="s">
        <v>883</v>
      </c>
      <c r="D29" s="369">
        <v>6694.6</v>
      </c>
    </row>
    <row r="30" spans="1:4" s="363" customFormat="1" ht="31.5">
      <c r="A30" s="370"/>
      <c r="B30" s="378" t="s">
        <v>773</v>
      </c>
      <c r="C30" s="365" t="s">
        <v>884</v>
      </c>
      <c r="D30" s="369">
        <v>2863.3</v>
      </c>
    </row>
    <row r="31" spans="1:4" s="363" customFormat="1" ht="31.5">
      <c r="A31" s="370"/>
      <c r="B31" s="378" t="s">
        <v>777</v>
      </c>
      <c r="C31" s="365" t="s">
        <v>885</v>
      </c>
      <c r="D31" s="369">
        <v>15363.7</v>
      </c>
    </row>
    <row r="32" spans="1:4" s="363" customFormat="1" ht="47.25">
      <c r="A32" s="370"/>
      <c r="B32" s="378" t="s">
        <v>886</v>
      </c>
      <c r="C32" s="365" t="s">
        <v>887</v>
      </c>
      <c r="D32" s="369">
        <v>5585.8</v>
      </c>
    </row>
    <row r="33" spans="1:4" s="363" customFormat="1" ht="31.5">
      <c r="A33" s="370"/>
      <c r="B33" s="368" t="s">
        <v>888</v>
      </c>
      <c r="C33" s="365" t="s">
        <v>889</v>
      </c>
      <c r="D33" s="369">
        <v>490.7</v>
      </c>
    </row>
    <row r="34" spans="1:4" s="363" customFormat="1" ht="31.5">
      <c r="A34" s="370"/>
      <c r="B34" s="368" t="s">
        <v>890</v>
      </c>
      <c r="C34" s="365" t="s">
        <v>891</v>
      </c>
      <c r="D34" s="369">
        <v>3051.4</v>
      </c>
    </row>
    <row r="35" spans="1:4" s="363" customFormat="1" ht="47.25">
      <c r="A35" s="370"/>
      <c r="B35" s="368" t="s">
        <v>892</v>
      </c>
      <c r="C35" s="365" t="s">
        <v>893</v>
      </c>
      <c r="D35" s="369">
        <v>2733.3</v>
      </c>
    </row>
    <row r="36" spans="1:4" s="363" customFormat="1" ht="47.25">
      <c r="A36" s="370"/>
      <c r="B36" s="368" t="s">
        <v>894</v>
      </c>
      <c r="C36" s="365" t="s">
        <v>895</v>
      </c>
      <c r="D36" s="369">
        <v>17651.5</v>
      </c>
    </row>
    <row r="37" spans="1:4" s="363" customFormat="1" ht="47.25">
      <c r="A37" s="370"/>
      <c r="B37" s="368" t="s">
        <v>896</v>
      </c>
      <c r="C37" s="365" t="s">
        <v>897</v>
      </c>
      <c r="D37" s="369">
        <v>130.4</v>
      </c>
    </row>
    <row r="38" spans="1:4" s="363" customFormat="1" ht="47.25">
      <c r="A38" s="370"/>
      <c r="B38" s="368" t="s">
        <v>898</v>
      </c>
      <c r="C38" s="365" t="s">
        <v>899</v>
      </c>
      <c r="D38" s="369">
        <v>13785</v>
      </c>
    </row>
    <row r="39" spans="1:4" s="363" customFormat="1" ht="47.25">
      <c r="A39" s="370"/>
      <c r="B39" s="368" t="s">
        <v>900</v>
      </c>
      <c r="C39" s="365" t="s">
        <v>901</v>
      </c>
      <c r="D39" s="369">
        <v>25734.3</v>
      </c>
    </row>
    <row r="40" spans="1:4" s="363" customFormat="1" ht="47.25">
      <c r="A40" s="370"/>
      <c r="B40" s="368" t="s">
        <v>902</v>
      </c>
      <c r="C40" s="365" t="s">
        <v>903</v>
      </c>
      <c r="D40" s="369">
        <v>1226.5</v>
      </c>
    </row>
    <row r="41" spans="1:4" s="363" customFormat="1" ht="63">
      <c r="A41" s="370"/>
      <c r="B41" s="368" t="s">
        <v>904</v>
      </c>
      <c r="C41" s="365" t="s">
        <v>905</v>
      </c>
      <c r="D41" s="369">
        <v>2460.9</v>
      </c>
    </row>
    <row r="42" spans="1:4" s="363" customFormat="1" ht="63">
      <c r="A42" s="370"/>
      <c r="B42" s="368" t="s">
        <v>906</v>
      </c>
      <c r="C42" s="365" t="s">
        <v>907</v>
      </c>
      <c r="D42" s="369">
        <v>244.6</v>
      </c>
    </row>
    <row r="43" spans="1:4" s="363" customFormat="1" ht="78.75">
      <c r="A43" s="370"/>
      <c r="B43" s="368" t="s">
        <v>908</v>
      </c>
      <c r="C43" s="365" t="s">
        <v>909</v>
      </c>
      <c r="D43" s="369">
        <v>539.20000000000005</v>
      </c>
    </row>
    <row r="44" spans="1:4" s="363" customFormat="1" ht="94.5">
      <c r="A44" s="370"/>
      <c r="B44" s="368" t="s">
        <v>910</v>
      </c>
      <c r="C44" s="365" t="s">
        <v>911</v>
      </c>
      <c r="D44" s="369">
        <v>586.9</v>
      </c>
    </row>
    <row r="45" spans="1:4" s="363" customFormat="1" ht="78.75">
      <c r="A45" s="370"/>
      <c r="B45" s="374" t="s">
        <v>800</v>
      </c>
      <c r="C45" s="379" t="s">
        <v>912</v>
      </c>
      <c r="D45" s="369">
        <v>8550</v>
      </c>
    </row>
    <row r="46" spans="1:4" s="363" customFormat="1" ht="63">
      <c r="A46" s="370"/>
      <c r="B46" s="374" t="s">
        <v>804</v>
      </c>
      <c r="C46" s="379" t="s">
        <v>913</v>
      </c>
      <c r="D46" s="369">
        <v>4.5999999999999996</v>
      </c>
    </row>
    <row r="47" spans="1:4" s="363" customFormat="1" ht="63">
      <c r="A47" s="370"/>
      <c r="B47" s="374" t="s">
        <v>808</v>
      </c>
      <c r="C47" s="379" t="s">
        <v>914</v>
      </c>
      <c r="D47" s="369">
        <v>776.8</v>
      </c>
    </row>
    <row r="48" spans="1:4" s="363" customFormat="1" ht="110.25">
      <c r="A48" s="370"/>
      <c r="B48" s="374" t="s">
        <v>915</v>
      </c>
      <c r="C48" s="379" t="s">
        <v>916</v>
      </c>
      <c r="D48" s="369">
        <v>14270</v>
      </c>
    </row>
    <row r="49" spans="1:4" s="363" customFormat="1" ht="31.5">
      <c r="A49" s="370"/>
      <c r="B49" s="374" t="s">
        <v>816</v>
      </c>
      <c r="C49" s="379" t="s">
        <v>917</v>
      </c>
      <c r="D49" s="369">
        <v>1462.2</v>
      </c>
    </row>
    <row r="50" spans="1:4" s="363" customFormat="1" ht="78.75">
      <c r="A50" s="370"/>
      <c r="B50" s="372" t="s">
        <v>918</v>
      </c>
      <c r="C50" s="365" t="s">
        <v>919</v>
      </c>
      <c r="D50" s="369">
        <v>733.2</v>
      </c>
    </row>
    <row r="51" spans="1:4" s="363" customFormat="1" ht="110.25">
      <c r="A51" s="370"/>
      <c r="B51" s="372" t="s">
        <v>920</v>
      </c>
      <c r="C51" s="365" t="s">
        <v>921</v>
      </c>
      <c r="D51" s="369">
        <v>258828.3</v>
      </c>
    </row>
    <row r="52" spans="1:4" s="363" customFormat="1" ht="94.5">
      <c r="A52" s="370"/>
      <c r="B52" s="372" t="s">
        <v>922</v>
      </c>
      <c r="C52" s="365" t="s">
        <v>923</v>
      </c>
      <c r="D52" s="369">
        <v>319.5</v>
      </c>
    </row>
    <row r="53" spans="1:4" s="363" customFormat="1" ht="78.75">
      <c r="A53" s="370"/>
      <c r="B53" s="372" t="s">
        <v>924</v>
      </c>
      <c r="C53" s="365" t="s">
        <v>925</v>
      </c>
      <c r="D53" s="369">
        <v>148201</v>
      </c>
    </row>
    <row r="54" spans="1:4" s="363" customFormat="1" ht="110.25">
      <c r="A54" s="370"/>
      <c r="B54" s="372" t="s">
        <v>926</v>
      </c>
      <c r="C54" s="365" t="s">
        <v>927</v>
      </c>
      <c r="D54" s="369">
        <v>8005.9</v>
      </c>
    </row>
    <row r="55" spans="1:4" s="363" customFormat="1" ht="78.75">
      <c r="A55" s="370"/>
      <c r="B55" s="372" t="s">
        <v>928</v>
      </c>
      <c r="C55" s="365" t="s">
        <v>929</v>
      </c>
      <c r="D55" s="369">
        <v>300</v>
      </c>
    </row>
    <row r="56" spans="1:4" s="363" customFormat="1" ht="47.25">
      <c r="A56" s="370"/>
      <c r="B56" s="372" t="s">
        <v>830</v>
      </c>
      <c r="C56" s="365" t="s">
        <v>930</v>
      </c>
      <c r="D56" s="369">
        <v>920.7</v>
      </c>
    </row>
    <row r="57" spans="1:4" s="363" customFormat="1" ht="110.25">
      <c r="A57" s="370"/>
      <c r="B57" s="372" t="s">
        <v>931</v>
      </c>
      <c r="C57" s="365" t="s">
        <v>932</v>
      </c>
      <c r="D57" s="369">
        <v>509.8</v>
      </c>
    </row>
    <row r="58" spans="1:4" s="363" customFormat="1" ht="78.75">
      <c r="A58" s="370"/>
      <c r="B58" s="372" t="s">
        <v>846</v>
      </c>
      <c r="C58" s="365" t="s">
        <v>933</v>
      </c>
      <c r="D58" s="369">
        <v>-821.9</v>
      </c>
    </row>
    <row r="59" spans="1:4" s="363" customFormat="1" ht="47.25">
      <c r="A59" s="370"/>
      <c r="B59" s="372" t="s">
        <v>848</v>
      </c>
      <c r="C59" s="365" t="s">
        <v>934</v>
      </c>
      <c r="D59" s="369">
        <v>-298.3</v>
      </c>
    </row>
    <row r="60" spans="1:4" s="363" customFormat="1" ht="33.75" customHeight="1">
      <c r="A60" s="362" t="s">
        <v>935</v>
      </c>
      <c r="B60" s="432" t="s">
        <v>273</v>
      </c>
      <c r="C60" s="432"/>
      <c r="D60" s="432"/>
    </row>
    <row r="61" spans="1:4" s="363" customFormat="1" ht="78.75">
      <c r="A61" s="367"/>
      <c r="B61" s="368" t="s">
        <v>567</v>
      </c>
      <c r="C61" s="380" t="s">
        <v>936</v>
      </c>
      <c r="D61" s="369">
        <v>14283.9</v>
      </c>
    </row>
    <row r="62" spans="1:4" s="363" customFormat="1" ht="78.75">
      <c r="A62" s="367"/>
      <c r="B62" s="368" t="s">
        <v>571</v>
      </c>
      <c r="C62" s="365" t="s">
        <v>937</v>
      </c>
      <c r="D62" s="369">
        <v>1133.5999999999999</v>
      </c>
    </row>
    <row r="63" spans="1:4" s="363" customFormat="1" ht="31.5">
      <c r="A63" s="367"/>
      <c r="B63" s="368" t="s">
        <v>575</v>
      </c>
      <c r="C63" s="365" t="s">
        <v>938</v>
      </c>
      <c r="D63" s="369">
        <v>10836.2</v>
      </c>
    </row>
    <row r="64" spans="1:4" s="363" customFormat="1" ht="47.25">
      <c r="A64" s="367"/>
      <c r="B64" s="368" t="s">
        <v>581</v>
      </c>
      <c r="C64" s="365" t="s">
        <v>939</v>
      </c>
      <c r="D64" s="369">
        <v>36.6</v>
      </c>
    </row>
    <row r="65" spans="1:5" s="363" customFormat="1" ht="78.75">
      <c r="A65" s="367"/>
      <c r="B65" s="368" t="s">
        <v>587</v>
      </c>
      <c r="C65" s="365" t="s">
        <v>940</v>
      </c>
      <c r="D65" s="369">
        <v>2801.2</v>
      </c>
    </row>
    <row r="66" spans="1:5" s="363" customFormat="1" ht="31.5">
      <c r="A66" s="367"/>
      <c r="B66" s="368" t="s">
        <v>617</v>
      </c>
      <c r="C66" s="365" t="s">
        <v>941</v>
      </c>
      <c r="D66" s="369">
        <v>26.6</v>
      </c>
    </row>
    <row r="67" spans="1:5" s="363" customFormat="1" ht="78.75">
      <c r="A67" s="367"/>
      <c r="B67" s="368" t="s">
        <v>623</v>
      </c>
      <c r="C67" s="365" t="s">
        <v>942</v>
      </c>
      <c r="D67" s="369">
        <v>1.1000000000000001</v>
      </c>
    </row>
    <row r="68" spans="1:5" s="363" customFormat="1" ht="47.25">
      <c r="A68" s="367"/>
      <c r="B68" s="381" t="s">
        <v>629</v>
      </c>
      <c r="C68" s="380" t="s">
        <v>943</v>
      </c>
      <c r="D68" s="369">
        <v>1442.4</v>
      </c>
      <c r="E68" s="382"/>
    </row>
    <row r="69" spans="1:5" s="363" customFormat="1" ht="47.25">
      <c r="A69" s="367"/>
      <c r="B69" s="381" t="s">
        <v>633</v>
      </c>
      <c r="C69" s="380" t="s">
        <v>944</v>
      </c>
      <c r="D69" s="369">
        <v>367</v>
      </c>
      <c r="E69" s="382"/>
    </row>
    <row r="70" spans="1:5" s="363" customFormat="1" ht="47.25">
      <c r="A70" s="393"/>
      <c r="B70" s="396" t="s">
        <v>637</v>
      </c>
      <c r="C70" s="398" t="s">
        <v>945</v>
      </c>
      <c r="D70" s="400">
        <v>19157.099999999999</v>
      </c>
      <c r="E70" s="382"/>
    </row>
    <row r="71" spans="1:5" s="363" customFormat="1" ht="47.25">
      <c r="A71" s="394"/>
      <c r="B71" s="395" t="s">
        <v>1080</v>
      </c>
      <c r="C71" s="397"/>
      <c r="D71" s="399"/>
      <c r="E71" s="382"/>
    </row>
    <row r="72" spans="1:5" s="363" customFormat="1" ht="47.25">
      <c r="A72" s="393"/>
      <c r="B72" s="396" t="s">
        <v>1078</v>
      </c>
      <c r="C72" s="398" t="s">
        <v>946</v>
      </c>
      <c r="D72" s="400">
        <v>4434.2</v>
      </c>
      <c r="E72" s="382"/>
    </row>
    <row r="73" spans="1:5" s="363" customFormat="1" ht="63">
      <c r="A73" s="394"/>
      <c r="B73" s="395" t="s">
        <v>1079</v>
      </c>
      <c r="C73" s="397"/>
      <c r="D73" s="399"/>
      <c r="E73" s="382"/>
    </row>
    <row r="74" spans="1:5" s="363" customFormat="1" ht="63">
      <c r="A74" s="367"/>
      <c r="B74" s="381" t="s">
        <v>947</v>
      </c>
      <c r="C74" s="380" t="s">
        <v>948</v>
      </c>
      <c r="D74" s="369">
        <v>2732.6</v>
      </c>
      <c r="E74" s="382"/>
    </row>
    <row r="75" spans="1:5" s="363" customFormat="1" ht="78.75">
      <c r="A75" s="367"/>
      <c r="B75" s="368" t="s">
        <v>705</v>
      </c>
      <c r="C75" s="365" t="s">
        <v>949</v>
      </c>
      <c r="D75" s="369">
        <v>932.4</v>
      </c>
    </row>
    <row r="76" spans="1:5" s="363" customFormat="1" ht="157.5">
      <c r="A76" s="367"/>
      <c r="B76" s="368" t="s">
        <v>862</v>
      </c>
      <c r="C76" s="365" t="s">
        <v>950</v>
      </c>
      <c r="D76" s="369">
        <v>304.3</v>
      </c>
    </row>
    <row r="77" spans="1:5" s="363" customFormat="1" ht="31.5">
      <c r="A77" s="367"/>
      <c r="B77" s="368" t="s">
        <v>725</v>
      </c>
      <c r="C77" s="365" t="s">
        <v>951</v>
      </c>
      <c r="D77" s="369">
        <v>-36</v>
      </c>
    </row>
    <row r="78" spans="1:5" s="363" customFormat="1">
      <c r="A78" s="383" t="s">
        <v>952</v>
      </c>
      <c r="B78" s="432" t="s">
        <v>953</v>
      </c>
      <c r="C78" s="432"/>
      <c r="D78" s="432"/>
    </row>
    <row r="79" spans="1:5" s="363" customFormat="1" ht="94.5">
      <c r="A79" s="384"/>
      <c r="B79" s="368" t="s">
        <v>954</v>
      </c>
      <c r="C79" s="365" t="s">
        <v>955</v>
      </c>
      <c r="D79" s="369">
        <v>58.8</v>
      </c>
    </row>
    <row r="80" spans="1:5" s="363" customFormat="1" ht="78.75">
      <c r="A80" s="384"/>
      <c r="B80" s="368" t="s">
        <v>956</v>
      </c>
      <c r="C80" s="365" t="s">
        <v>957</v>
      </c>
      <c r="D80" s="369">
        <v>114</v>
      </c>
    </row>
    <row r="81" spans="1:4" s="363" customFormat="1" ht="63">
      <c r="A81" s="384"/>
      <c r="B81" s="368" t="s">
        <v>958</v>
      </c>
      <c r="C81" s="365" t="s">
        <v>959</v>
      </c>
      <c r="D81" s="369">
        <v>8.6</v>
      </c>
    </row>
    <row r="82" spans="1:4" s="363" customFormat="1" ht="22.5" customHeight="1">
      <c r="A82" s="383" t="s">
        <v>960</v>
      </c>
      <c r="B82" s="433" t="s">
        <v>961</v>
      </c>
      <c r="C82" s="433"/>
      <c r="D82" s="433"/>
    </row>
    <row r="83" spans="1:4" s="363" customFormat="1" ht="126">
      <c r="A83" s="384"/>
      <c r="B83" s="368" t="s">
        <v>962</v>
      </c>
      <c r="C83" s="365" t="s">
        <v>963</v>
      </c>
      <c r="D83" s="369">
        <v>17.100000000000001</v>
      </c>
    </row>
    <row r="84" spans="1:4" s="363" customFormat="1" ht="110.25">
      <c r="A84" s="384"/>
      <c r="B84" s="368" t="s">
        <v>964</v>
      </c>
      <c r="C84" s="365" t="s">
        <v>965</v>
      </c>
      <c r="D84" s="369">
        <v>2.2000000000000002</v>
      </c>
    </row>
    <row r="85" spans="1:4" s="363" customFormat="1" ht="94.5">
      <c r="A85" s="384"/>
      <c r="B85" s="368" t="s">
        <v>966</v>
      </c>
      <c r="C85" s="365" t="s">
        <v>967</v>
      </c>
      <c r="D85" s="369">
        <v>3.1</v>
      </c>
    </row>
    <row r="86" spans="1:4" s="363" customFormat="1" ht="110.25">
      <c r="A86" s="384"/>
      <c r="B86" s="368" t="s">
        <v>968</v>
      </c>
      <c r="C86" s="365" t="s">
        <v>969</v>
      </c>
      <c r="D86" s="369">
        <v>2.8</v>
      </c>
    </row>
    <row r="87" spans="1:4" s="363" customFormat="1" ht="94.5">
      <c r="A87" s="384"/>
      <c r="B87" s="368" t="s">
        <v>970</v>
      </c>
      <c r="C87" s="365" t="s">
        <v>971</v>
      </c>
      <c r="D87" s="369">
        <v>12.5</v>
      </c>
    </row>
    <row r="88" spans="1:4" s="363" customFormat="1">
      <c r="A88" s="362" t="s">
        <v>972</v>
      </c>
      <c r="B88" s="432" t="s">
        <v>973</v>
      </c>
      <c r="C88" s="432"/>
      <c r="D88" s="432"/>
    </row>
    <row r="89" spans="1:4" ht="126">
      <c r="A89" s="384"/>
      <c r="B89" s="368" t="s">
        <v>974</v>
      </c>
      <c r="C89" s="365" t="s">
        <v>975</v>
      </c>
      <c r="D89" s="385">
        <v>363533.7</v>
      </c>
    </row>
    <row r="90" spans="1:4" ht="126">
      <c r="A90" s="384"/>
      <c r="B90" s="368" t="s">
        <v>976</v>
      </c>
      <c r="C90" s="365" t="s">
        <v>977</v>
      </c>
      <c r="D90" s="385">
        <v>339.5</v>
      </c>
    </row>
    <row r="91" spans="1:4" ht="141.75">
      <c r="A91" s="384"/>
      <c r="B91" s="368" t="s">
        <v>978</v>
      </c>
      <c r="C91" s="365" t="s">
        <v>979</v>
      </c>
      <c r="D91" s="385">
        <v>607.79999999999995</v>
      </c>
    </row>
    <row r="92" spans="1:4" ht="78.75">
      <c r="A92" s="384"/>
      <c r="B92" s="368" t="s">
        <v>980</v>
      </c>
      <c r="C92" s="365" t="s">
        <v>981</v>
      </c>
      <c r="D92" s="385">
        <v>2028.9</v>
      </c>
    </row>
    <row r="93" spans="1:4" ht="78.75">
      <c r="A93" s="384"/>
      <c r="B93" s="368" t="s">
        <v>982</v>
      </c>
      <c r="C93" s="365" t="s">
        <v>983</v>
      </c>
      <c r="D93" s="385">
        <v>33.299999999999997</v>
      </c>
    </row>
    <row r="94" spans="1:4" ht="157.5">
      <c r="A94" s="384"/>
      <c r="B94" s="368" t="s">
        <v>984</v>
      </c>
      <c r="C94" s="365" t="s">
        <v>985</v>
      </c>
      <c r="D94" s="385">
        <v>490.2</v>
      </c>
    </row>
    <row r="95" spans="1:4" ht="78.75">
      <c r="A95" s="384"/>
      <c r="B95" s="368" t="s">
        <v>986</v>
      </c>
      <c r="C95" s="365" t="s">
        <v>987</v>
      </c>
      <c r="D95" s="385">
        <v>6888.4</v>
      </c>
    </row>
    <row r="96" spans="1:4" ht="78.75">
      <c r="A96" s="384"/>
      <c r="B96" s="368" t="s">
        <v>988</v>
      </c>
      <c r="C96" s="365" t="s">
        <v>989</v>
      </c>
      <c r="D96" s="385">
        <v>12858.3</v>
      </c>
    </row>
    <row r="97" spans="1:5" ht="110.25">
      <c r="A97" s="384"/>
      <c r="B97" s="368" t="s">
        <v>507</v>
      </c>
      <c r="C97" s="365" t="s">
        <v>990</v>
      </c>
      <c r="D97" s="385">
        <v>2890.5</v>
      </c>
      <c r="E97" s="386"/>
    </row>
    <row r="98" spans="1:5" ht="126">
      <c r="A98" s="384"/>
      <c r="B98" s="368" t="s">
        <v>511</v>
      </c>
      <c r="C98" s="365" t="s">
        <v>991</v>
      </c>
      <c r="D98" s="385">
        <v>15.1</v>
      </c>
      <c r="E98" s="386"/>
    </row>
    <row r="99" spans="1:5" ht="110.25">
      <c r="A99" s="384"/>
      <c r="B99" s="368" t="s">
        <v>515</v>
      </c>
      <c r="C99" s="365" t="s">
        <v>992</v>
      </c>
      <c r="D99" s="385">
        <v>2987.6</v>
      </c>
      <c r="E99" s="386"/>
    </row>
    <row r="100" spans="1:5" s="363" customFormat="1" ht="110.25">
      <c r="A100" s="387"/>
      <c r="B100" s="368" t="s">
        <v>519</v>
      </c>
      <c r="C100" s="365" t="s">
        <v>993</v>
      </c>
      <c r="D100" s="385">
        <v>-314.7</v>
      </c>
    </row>
    <row r="101" spans="1:5" ht="63">
      <c r="A101" s="384"/>
      <c r="B101" s="368" t="s">
        <v>994</v>
      </c>
      <c r="C101" s="365" t="s">
        <v>995</v>
      </c>
      <c r="D101" s="385">
        <v>23440.400000000001</v>
      </c>
    </row>
    <row r="102" spans="1:5" ht="63">
      <c r="A102" s="384"/>
      <c r="B102" s="368" t="s">
        <v>996</v>
      </c>
      <c r="C102" s="365" t="s">
        <v>997</v>
      </c>
      <c r="D102" s="385">
        <v>9.9</v>
      </c>
    </row>
    <row r="103" spans="1:5" ht="94.5">
      <c r="A103" s="384"/>
      <c r="B103" s="368" t="s">
        <v>998</v>
      </c>
      <c r="C103" s="365" t="s">
        <v>999</v>
      </c>
      <c r="D103" s="385">
        <v>13252.6</v>
      </c>
    </row>
    <row r="104" spans="1:5" ht="94.5">
      <c r="A104" s="384"/>
      <c r="B104" s="368" t="s">
        <v>1000</v>
      </c>
      <c r="C104" s="365" t="s">
        <v>1001</v>
      </c>
      <c r="D104" s="385">
        <v>0.2</v>
      </c>
    </row>
    <row r="105" spans="1:5" ht="63">
      <c r="A105" s="384"/>
      <c r="B105" s="368" t="s">
        <v>1002</v>
      </c>
      <c r="C105" s="365" t="s">
        <v>1003</v>
      </c>
      <c r="D105" s="369">
        <v>-332.1</v>
      </c>
    </row>
    <row r="106" spans="1:5" ht="63">
      <c r="A106" s="384"/>
      <c r="B106" s="368" t="s">
        <v>1004</v>
      </c>
      <c r="C106" s="365" t="s">
        <v>1005</v>
      </c>
      <c r="D106" s="369">
        <v>5.2</v>
      </c>
    </row>
    <row r="107" spans="1:5" ht="63">
      <c r="A107" s="384"/>
      <c r="B107" s="368" t="s">
        <v>1006</v>
      </c>
      <c r="C107" s="365" t="s">
        <v>1007</v>
      </c>
      <c r="D107" s="369">
        <v>2060</v>
      </c>
    </row>
    <row r="108" spans="1:5" ht="78.75">
      <c r="A108" s="384"/>
      <c r="B108" s="368" t="s">
        <v>1008</v>
      </c>
      <c r="C108" s="365" t="s">
        <v>1009</v>
      </c>
      <c r="D108" s="369">
        <v>26093.9</v>
      </c>
    </row>
    <row r="109" spans="1:5" ht="63">
      <c r="A109" s="384"/>
      <c r="B109" s="368" t="s">
        <v>1010</v>
      </c>
      <c r="C109" s="365" t="s">
        <v>1011</v>
      </c>
      <c r="D109" s="369">
        <v>29047</v>
      </c>
    </row>
    <row r="110" spans="1:5" ht="63">
      <c r="A110" s="384"/>
      <c r="B110" s="368" t="s">
        <v>1012</v>
      </c>
      <c r="C110" s="365" t="s">
        <v>1013</v>
      </c>
      <c r="D110" s="369">
        <v>-4.5999999999999996</v>
      </c>
    </row>
    <row r="111" spans="1:5" ht="63">
      <c r="A111" s="384"/>
      <c r="B111" s="368" t="s">
        <v>1014</v>
      </c>
      <c r="C111" s="365" t="s">
        <v>1015</v>
      </c>
      <c r="D111" s="369">
        <v>11059.5</v>
      </c>
    </row>
    <row r="112" spans="1:5" ht="63">
      <c r="A112" s="384"/>
      <c r="B112" s="368" t="s">
        <v>1016</v>
      </c>
      <c r="C112" s="365" t="s">
        <v>1017</v>
      </c>
      <c r="D112" s="369">
        <v>-0.2</v>
      </c>
    </row>
    <row r="113" spans="1:5" ht="63">
      <c r="A113" s="384"/>
      <c r="B113" s="368" t="s">
        <v>1018</v>
      </c>
      <c r="C113" s="365" t="s">
        <v>1019</v>
      </c>
      <c r="D113" s="369">
        <v>6481.2</v>
      </c>
    </row>
    <row r="114" spans="1:5" ht="78.75">
      <c r="A114" s="384"/>
      <c r="B114" s="368" t="s">
        <v>1020</v>
      </c>
      <c r="C114" s="365" t="s">
        <v>1021</v>
      </c>
      <c r="D114" s="369">
        <v>41.9</v>
      </c>
    </row>
    <row r="115" spans="1:5" s="363" customFormat="1" ht="78.75">
      <c r="A115" s="384"/>
      <c r="B115" s="368" t="s">
        <v>713</v>
      </c>
      <c r="C115" s="365" t="s">
        <v>1022</v>
      </c>
      <c r="D115" s="369">
        <v>1.2</v>
      </c>
    </row>
    <row r="116" spans="1:5">
      <c r="A116" s="383" t="s">
        <v>1023</v>
      </c>
      <c r="B116" s="432" t="s">
        <v>1024</v>
      </c>
      <c r="C116" s="432"/>
      <c r="D116" s="432"/>
    </row>
    <row r="117" spans="1:5" s="363" customFormat="1" ht="126">
      <c r="A117" s="384"/>
      <c r="B117" s="368" t="s">
        <v>1025</v>
      </c>
      <c r="C117" s="365" t="s">
        <v>1026</v>
      </c>
      <c r="D117" s="369">
        <v>65.3</v>
      </c>
    </row>
    <row r="118" spans="1:5" ht="31.5" customHeight="1">
      <c r="A118" s="383" t="s">
        <v>1027</v>
      </c>
      <c r="B118" s="433" t="s">
        <v>1028</v>
      </c>
      <c r="C118" s="433"/>
      <c r="D118" s="433"/>
      <c r="E118" s="388"/>
    </row>
    <row r="119" spans="1:5" ht="110.25">
      <c r="A119" s="384"/>
      <c r="B119" s="389" t="s">
        <v>1029</v>
      </c>
      <c r="C119" s="365" t="s">
        <v>1030</v>
      </c>
      <c r="D119" s="369">
        <v>14.4</v>
      </c>
    </row>
    <row r="120" spans="1:5" ht="78.75">
      <c r="A120" s="384"/>
      <c r="B120" s="368" t="s">
        <v>1031</v>
      </c>
      <c r="C120" s="365" t="s">
        <v>1032</v>
      </c>
      <c r="D120" s="369">
        <v>2.9</v>
      </c>
    </row>
    <row r="121" spans="1:5" ht="141.75">
      <c r="A121" s="384"/>
      <c r="B121" s="368" t="s">
        <v>1033</v>
      </c>
      <c r="C121" s="365" t="s">
        <v>1034</v>
      </c>
      <c r="D121" s="369">
        <v>12.5</v>
      </c>
    </row>
    <row r="122" spans="1:5" ht="110.25">
      <c r="A122" s="384"/>
      <c r="B122" s="368" t="s">
        <v>1035</v>
      </c>
      <c r="C122" s="365" t="s">
        <v>1036</v>
      </c>
      <c r="D122" s="369">
        <v>5</v>
      </c>
    </row>
    <row r="123" spans="1:5" ht="110.25">
      <c r="A123" s="384"/>
      <c r="B123" s="368" t="s">
        <v>964</v>
      </c>
      <c r="C123" s="365" t="s">
        <v>1037</v>
      </c>
      <c r="D123" s="369">
        <v>4</v>
      </c>
    </row>
    <row r="124" spans="1:5" ht="94.5">
      <c r="A124" s="384"/>
      <c r="B124" s="368" t="s">
        <v>1038</v>
      </c>
      <c r="C124" s="365" t="s">
        <v>1039</v>
      </c>
      <c r="D124" s="369">
        <v>1.6</v>
      </c>
    </row>
    <row r="125" spans="1:5" ht="110.25">
      <c r="A125" s="384"/>
      <c r="B125" s="368" t="s">
        <v>1040</v>
      </c>
      <c r="C125" s="365" t="s">
        <v>1041</v>
      </c>
      <c r="D125" s="369">
        <v>90.9</v>
      </c>
    </row>
    <row r="126" spans="1:5" ht="94.5">
      <c r="A126" s="384"/>
      <c r="B126" s="368" t="s">
        <v>966</v>
      </c>
      <c r="C126" s="365" t="s">
        <v>1042</v>
      </c>
      <c r="D126" s="369">
        <v>5.9</v>
      </c>
    </row>
    <row r="127" spans="1:5" ht="126">
      <c r="A127" s="384"/>
      <c r="B127" s="368" t="s">
        <v>1043</v>
      </c>
      <c r="C127" s="365" t="s">
        <v>1044</v>
      </c>
      <c r="D127" s="369">
        <v>145</v>
      </c>
    </row>
    <row r="128" spans="1:5" ht="173.25">
      <c r="A128" s="384"/>
      <c r="B128" s="368" t="s">
        <v>1045</v>
      </c>
      <c r="C128" s="365" t="s">
        <v>1046</v>
      </c>
      <c r="D128" s="369">
        <v>25</v>
      </c>
    </row>
    <row r="129" spans="1:4" ht="126">
      <c r="A129" s="384"/>
      <c r="B129" s="368" t="s">
        <v>1047</v>
      </c>
      <c r="C129" s="365" t="s">
        <v>1048</v>
      </c>
      <c r="D129" s="369">
        <v>10</v>
      </c>
    </row>
    <row r="130" spans="1:4" ht="110.25">
      <c r="A130" s="384"/>
      <c r="B130" s="368" t="s">
        <v>1049</v>
      </c>
      <c r="C130" s="365" t="s">
        <v>1050</v>
      </c>
      <c r="D130" s="369">
        <v>32.9</v>
      </c>
    </row>
    <row r="131" spans="1:4" ht="141.75">
      <c r="A131" s="384"/>
      <c r="B131" s="368" t="s">
        <v>1051</v>
      </c>
      <c r="C131" s="365" t="s">
        <v>1052</v>
      </c>
      <c r="D131" s="369">
        <v>0.7</v>
      </c>
    </row>
    <row r="132" spans="1:4" ht="126">
      <c r="A132" s="384"/>
      <c r="B132" s="368" t="s">
        <v>1053</v>
      </c>
      <c r="C132" s="365" t="s">
        <v>1054</v>
      </c>
      <c r="D132" s="369">
        <v>6.6</v>
      </c>
    </row>
    <row r="133" spans="1:4" ht="141.75">
      <c r="A133" s="384"/>
      <c r="B133" s="368" t="s">
        <v>1055</v>
      </c>
      <c r="C133" s="365" t="s">
        <v>1056</v>
      </c>
      <c r="D133" s="369">
        <v>4.3</v>
      </c>
    </row>
    <row r="134" spans="1:4" ht="157.5">
      <c r="A134" s="384"/>
      <c r="B134" s="368" t="s">
        <v>1057</v>
      </c>
      <c r="C134" s="365" t="s">
        <v>1058</v>
      </c>
      <c r="D134" s="369">
        <v>3</v>
      </c>
    </row>
    <row r="135" spans="1:4" ht="94.5">
      <c r="A135" s="384"/>
      <c r="B135" s="368" t="s">
        <v>1059</v>
      </c>
      <c r="C135" s="365" t="s">
        <v>1060</v>
      </c>
      <c r="D135" s="369">
        <v>1</v>
      </c>
    </row>
    <row r="136" spans="1:4" ht="189">
      <c r="A136" s="384"/>
      <c r="B136" s="368" t="s">
        <v>1061</v>
      </c>
      <c r="C136" s="365" t="s">
        <v>1062</v>
      </c>
      <c r="D136" s="369">
        <v>18</v>
      </c>
    </row>
    <row r="137" spans="1:4" ht="94.5">
      <c r="A137" s="384"/>
      <c r="B137" s="368" t="s">
        <v>1063</v>
      </c>
      <c r="C137" s="365" t="s">
        <v>1064</v>
      </c>
      <c r="D137" s="369">
        <v>2.7</v>
      </c>
    </row>
    <row r="138" spans="1:4" ht="141.75">
      <c r="A138" s="384"/>
      <c r="B138" s="368" t="s">
        <v>1065</v>
      </c>
      <c r="C138" s="365" t="s">
        <v>1066</v>
      </c>
      <c r="D138" s="369">
        <v>20</v>
      </c>
    </row>
    <row r="139" spans="1:4" ht="78.75">
      <c r="A139" s="384"/>
      <c r="B139" s="368" t="s">
        <v>1067</v>
      </c>
      <c r="C139" s="365" t="s">
        <v>1068</v>
      </c>
      <c r="D139" s="369">
        <v>6.5</v>
      </c>
    </row>
    <row r="140" spans="1:4" ht="252">
      <c r="A140" s="384"/>
      <c r="B140" s="368" t="s">
        <v>1069</v>
      </c>
      <c r="C140" s="365" t="s">
        <v>1070</v>
      </c>
      <c r="D140" s="369">
        <v>0.7</v>
      </c>
    </row>
    <row r="141" spans="1:4" ht="141.75">
      <c r="A141" s="384"/>
      <c r="B141" s="368" t="s">
        <v>1071</v>
      </c>
      <c r="C141" s="365" t="s">
        <v>1072</v>
      </c>
      <c r="D141" s="369">
        <v>7.5</v>
      </c>
    </row>
    <row r="142" spans="1:4" ht="110.25">
      <c r="A142" s="384"/>
      <c r="B142" s="368" t="s">
        <v>968</v>
      </c>
      <c r="C142" s="365" t="s">
        <v>1073</v>
      </c>
      <c r="D142" s="369">
        <v>3.7</v>
      </c>
    </row>
    <row r="143" spans="1:4" ht="94.5">
      <c r="A143" s="384"/>
      <c r="B143" s="368" t="s">
        <v>970</v>
      </c>
      <c r="C143" s="365" t="s">
        <v>1074</v>
      </c>
      <c r="D143" s="369">
        <v>390.4</v>
      </c>
    </row>
  </sheetData>
  <mergeCells count="16">
    <mergeCell ref="B116:D116"/>
    <mergeCell ref="B118:D118"/>
    <mergeCell ref="B9:D9"/>
    <mergeCell ref="B20:D20"/>
    <mergeCell ref="B60:D60"/>
    <mergeCell ref="B78:D78"/>
    <mergeCell ref="B82:D82"/>
    <mergeCell ref="B88:D88"/>
    <mergeCell ref="B1:D1"/>
    <mergeCell ref="B2:D2"/>
    <mergeCell ref="B3:D3"/>
    <mergeCell ref="A5:D5"/>
    <mergeCell ref="A7:A8"/>
    <mergeCell ref="B7:B8"/>
    <mergeCell ref="C7:C8"/>
    <mergeCell ref="D7:D8"/>
  </mergeCells>
  <pageMargins left="0.78740157480314965" right="0.19685039370078741" top="0.19685039370078741" bottom="0.19685039370078741" header="0.11811023622047245" footer="0.11811023622047245"/>
  <pageSetup paperSize="9" scale="68" fitToHeight="0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>
  <sheetPr codeName="Лист2">
    <pageSetUpPr fitToPage="1"/>
  </sheetPr>
  <dimension ref="A1:G42"/>
  <sheetViews>
    <sheetView topLeftCell="A16" workbookViewId="0">
      <selection activeCell="I9" sqref="I9"/>
    </sheetView>
  </sheetViews>
  <sheetFormatPr defaultColWidth="8.85546875" defaultRowHeight="15.75"/>
  <cols>
    <col min="1" max="1" width="6.5703125" style="14" customWidth="1"/>
    <col min="2" max="2" width="69.42578125" style="14" customWidth="1"/>
    <col min="3" max="3" width="12.7109375" style="14" customWidth="1"/>
    <col min="4" max="4" width="13.42578125" style="14" customWidth="1"/>
    <col min="5" max="5" width="8.85546875" style="273" customWidth="1"/>
    <col min="6" max="6" width="9.7109375" style="3" customWidth="1"/>
    <col min="7" max="7" width="13.85546875" style="3" bestFit="1" customWidth="1"/>
    <col min="8" max="16384" width="8.85546875" style="3"/>
  </cols>
  <sheetData>
    <row r="1" spans="1:7" ht="46.15" customHeight="1">
      <c r="A1" s="436" t="s">
        <v>428</v>
      </c>
      <c r="B1" s="436"/>
      <c r="C1" s="436"/>
      <c r="D1" s="436"/>
    </row>
    <row r="2" spans="1:7" ht="51" customHeight="1">
      <c r="A2" s="437" t="s">
        <v>414</v>
      </c>
      <c r="B2" s="437"/>
      <c r="C2" s="437"/>
      <c r="D2" s="437"/>
    </row>
    <row r="3" spans="1:7">
      <c r="A3" s="434" t="s">
        <v>36</v>
      </c>
      <c r="B3" s="434" t="s">
        <v>18</v>
      </c>
      <c r="C3" s="416" t="s">
        <v>411</v>
      </c>
      <c r="D3" s="418" t="s">
        <v>412</v>
      </c>
    </row>
    <row r="4" spans="1:7" ht="36.6" customHeight="1">
      <c r="A4" s="435"/>
      <c r="B4" s="435"/>
      <c r="C4" s="417"/>
      <c r="D4" s="419"/>
    </row>
    <row r="5" spans="1:7">
      <c r="A5" s="25" t="s">
        <v>3</v>
      </c>
      <c r="B5" s="25" t="s">
        <v>75</v>
      </c>
      <c r="C5" s="25" t="s">
        <v>76</v>
      </c>
      <c r="D5" s="25" t="s">
        <v>77</v>
      </c>
    </row>
    <row r="6" spans="1:7">
      <c r="A6" s="4" t="s">
        <v>64</v>
      </c>
      <c r="B6" s="23" t="s">
        <v>57</v>
      </c>
      <c r="C6" s="6">
        <f>C7+C15+C18+C21+C25+C32+C34+C38+C41</f>
        <v>1322360.3999999999</v>
      </c>
      <c r="D6" s="6">
        <f>D7+D15+D18+D21+D25+D32+D34+D38+D41</f>
        <v>1175067.2999999998</v>
      </c>
    </row>
    <row r="7" spans="1:7">
      <c r="A7" s="4" t="s">
        <v>53</v>
      </c>
      <c r="B7" s="19" t="s">
        <v>20</v>
      </c>
      <c r="C7" s="6">
        <f>SUM(C8:C14)</f>
        <v>90128.2</v>
      </c>
      <c r="D7" s="6">
        <f>SUM(D8:D14)</f>
        <v>83085.3</v>
      </c>
    </row>
    <row r="8" spans="1:7" ht="47.25">
      <c r="A8" s="25" t="s">
        <v>43</v>
      </c>
      <c r="B8" s="13" t="s">
        <v>21</v>
      </c>
      <c r="C8" s="7">
        <f>' № 7  рп, кцср, квр'!E9</f>
        <v>3835.2000000000003</v>
      </c>
      <c r="D8" s="7">
        <f>' № 7  рп, кцср, квр'!F9</f>
        <v>3816.1</v>
      </c>
    </row>
    <row r="9" spans="1:7" ht="49.15" customHeight="1">
      <c r="A9" s="25" t="s">
        <v>44</v>
      </c>
      <c r="B9" s="13" t="s">
        <v>22</v>
      </c>
      <c r="C9" s="7">
        <f>' № 7  рп, кцср, квр'!E21</f>
        <v>28830.000000000004</v>
      </c>
      <c r="D9" s="7">
        <f>' № 7  рп, кцср, квр'!F21</f>
        <v>28713.100000000002</v>
      </c>
    </row>
    <row r="10" spans="1:7" ht="15.6" customHeight="1">
      <c r="A10" s="15" t="s">
        <v>148</v>
      </c>
      <c r="B10" s="8" t="s">
        <v>149</v>
      </c>
      <c r="C10" s="7">
        <f>' № 7  рп, кцср, квр'!E38</f>
        <v>4.6000000000000014</v>
      </c>
      <c r="D10" s="7">
        <f>' № 7  рп, кцср, квр'!F38</f>
        <v>4.5999999999999996</v>
      </c>
    </row>
    <row r="11" spans="1:7" ht="31.5" customHeight="1">
      <c r="A11" s="25" t="s">
        <v>45</v>
      </c>
      <c r="B11" s="13" t="s">
        <v>7</v>
      </c>
      <c r="C11" s="7">
        <f>' № 7  рп, кцср, квр'!E44</f>
        <v>9094.7000000000007</v>
      </c>
      <c r="D11" s="7">
        <f>' № 7  рп, кцср, квр'!F44</f>
        <v>9079.7000000000007</v>
      </c>
      <c r="G11" s="41"/>
    </row>
    <row r="12" spans="1:7" ht="19.149999999999999" customHeight="1">
      <c r="A12" s="15" t="s">
        <v>207</v>
      </c>
      <c r="B12" s="55" t="s">
        <v>208</v>
      </c>
      <c r="C12" s="7">
        <f>' № 7  рп, кцср, квр'!E56</f>
        <v>88.6</v>
      </c>
      <c r="D12" s="7">
        <f>' № 7  рп, кцср, квр'!F56</f>
        <v>88.6</v>
      </c>
    </row>
    <row r="13" spans="1:7">
      <c r="A13" s="25" t="s">
        <v>46</v>
      </c>
      <c r="B13" s="13" t="s">
        <v>8</v>
      </c>
      <c r="C13" s="7">
        <f>' № 7  рп, кцср, квр'!E63</f>
        <v>2827.1</v>
      </c>
      <c r="D13" s="7">
        <f>' № 7  рп, кцср, квр'!F63</f>
        <v>0</v>
      </c>
    </row>
    <row r="14" spans="1:7">
      <c r="A14" s="25" t="s">
        <v>58</v>
      </c>
      <c r="B14" s="13" t="s">
        <v>23</v>
      </c>
      <c r="C14" s="7">
        <f>' № 7  рп, кцср, квр'!E69</f>
        <v>45448</v>
      </c>
      <c r="D14" s="7">
        <f>' № 7  рп, кцср, квр'!F69</f>
        <v>41383.200000000004</v>
      </c>
    </row>
    <row r="15" spans="1:7" ht="16.5" customHeight="1">
      <c r="A15" s="4" t="s">
        <v>54</v>
      </c>
      <c r="B15" s="19" t="s">
        <v>24</v>
      </c>
      <c r="C15" s="6">
        <f>C16+C17</f>
        <v>10710.9</v>
      </c>
      <c r="D15" s="6">
        <f>D16+D17</f>
        <v>10709.6</v>
      </c>
    </row>
    <row r="16" spans="1:7">
      <c r="A16" s="25" t="s">
        <v>73</v>
      </c>
      <c r="B16" s="13" t="s">
        <v>74</v>
      </c>
      <c r="C16" s="7">
        <f>' № 7  рп, кцср, квр'!E163</f>
        <v>1462.2</v>
      </c>
      <c r="D16" s="7">
        <f>' № 7  рп, кцср, квр'!F163</f>
        <v>1462.2</v>
      </c>
    </row>
    <row r="17" spans="1:4" ht="31.5">
      <c r="A17" s="15" t="s">
        <v>271</v>
      </c>
      <c r="B17" s="13" t="s">
        <v>272</v>
      </c>
      <c r="C17" s="7">
        <f>' № 7  рп, кцср, квр'!E170</f>
        <v>9248.6999999999989</v>
      </c>
      <c r="D17" s="7">
        <f>' № 7  рп, кцср, квр'!F170</f>
        <v>9247.4</v>
      </c>
    </row>
    <row r="18" spans="1:4" ht="16.149999999999999" customHeight="1">
      <c r="A18" s="4" t="s">
        <v>55</v>
      </c>
      <c r="B18" s="19" t="s">
        <v>25</v>
      </c>
      <c r="C18" s="6">
        <f>C19+C20</f>
        <v>119789.09999999999</v>
      </c>
      <c r="D18" s="6">
        <f>D19+D20</f>
        <v>114616.4</v>
      </c>
    </row>
    <row r="19" spans="1:4">
      <c r="A19" s="25" t="s">
        <v>6</v>
      </c>
      <c r="B19" s="13" t="s">
        <v>85</v>
      </c>
      <c r="C19" s="7">
        <f>' № 7  рп, кцср, квр'!E187</f>
        <v>119460.4</v>
      </c>
      <c r="D19" s="7">
        <f>' № 7  рп, кцср, квр'!F187</f>
        <v>114505.7</v>
      </c>
    </row>
    <row r="20" spans="1:4">
      <c r="A20" s="25" t="s">
        <v>47</v>
      </c>
      <c r="B20" s="13" t="s">
        <v>26</v>
      </c>
      <c r="C20" s="7">
        <f>' № 7  рп, кцср, квр'!E230</f>
        <v>328.7</v>
      </c>
      <c r="D20" s="7">
        <f>' № 7  рп, кцср, квр'!F230</f>
        <v>110.7</v>
      </c>
    </row>
    <row r="21" spans="1:4">
      <c r="A21" s="4" t="s">
        <v>56</v>
      </c>
      <c r="B21" s="19" t="s">
        <v>27</v>
      </c>
      <c r="C21" s="6">
        <f>C22+C24+C23</f>
        <v>234994.5</v>
      </c>
      <c r="D21" s="6">
        <f>D22+D24+D23</f>
        <v>103996.70000000001</v>
      </c>
    </row>
    <row r="22" spans="1:4">
      <c r="A22" s="25" t="s">
        <v>4</v>
      </c>
      <c r="B22" s="13" t="s">
        <v>5</v>
      </c>
      <c r="C22" s="7">
        <f>' № 7  рп, кцср, квр'!E243</f>
        <v>3217.6</v>
      </c>
      <c r="D22" s="7">
        <f>' № 7  рп, кцср, квр'!F243</f>
        <v>3006.8</v>
      </c>
    </row>
    <row r="23" spans="1:4">
      <c r="A23" s="15" t="s">
        <v>228</v>
      </c>
      <c r="B23" s="66" t="s">
        <v>229</v>
      </c>
      <c r="C23" s="7">
        <f>' № 7  рп, кцср, квр'!E250</f>
        <v>151001.4</v>
      </c>
      <c r="D23" s="7">
        <f>' № 7  рп, кцср, квр'!F250</f>
        <v>24273.9</v>
      </c>
    </row>
    <row r="24" spans="1:4">
      <c r="A24" s="25" t="s">
        <v>48</v>
      </c>
      <c r="B24" s="13" t="s">
        <v>28</v>
      </c>
      <c r="C24" s="7">
        <f>' № 7  рп, кцср, квр'!E268</f>
        <v>80775.500000000015</v>
      </c>
      <c r="D24" s="7">
        <f>' № 7  рп, кцср, квр'!F268</f>
        <v>76716</v>
      </c>
    </row>
    <row r="25" spans="1:4">
      <c r="A25" s="4" t="s">
        <v>37</v>
      </c>
      <c r="B25" s="5" t="s">
        <v>29</v>
      </c>
      <c r="C25" s="6">
        <f>C26+C27+C28+C30+C31+C29</f>
        <v>733693.39999999991</v>
      </c>
      <c r="D25" s="6">
        <f>D26+D27+D28+D30+D31+D29</f>
        <v>731900.8</v>
      </c>
    </row>
    <row r="26" spans="1:4">
      <c r="A26" s="25" t="s">
        <v>49</v>
      </c>
      <c r="B26" s="13" t="s">
        <v>10</v>
      </c>
      <c r="C26" s="7">
        <f>' № 7  рп, кцср, квр'!E346</f>
        <v>282492.59999999998</v>
      </c>
      <c r="D26" s="7">
        <f>' № 7  рп, кцср, квр'!F346</f>
        <v>281845.60000000003</v>
      </c>
    </row>
    <row r="27" spans="1:4">
      <c r="A27" s="15" t="s">
        <v>50</v>
      </c>
      <c r="B27" s="13" t="s">
        <v>11</v>
      </c>
      <c r="C27" s="7">
        <f>' № 7  рп, кцср, квр'!E398</f>
        <v>397079.69999999995</v>
      </c>
      <c r="D27" s="7">
        <f>' № 7  рп, кцср, квр'!F398</f>
        <v>396128.6</v>
      </c>
    </row>
    <row r="28" spans="1:4">
      <c r="A28" s="15" t="s">
        <v>86</v>
      </c>
      <c r="B28" s="13" t="s">
        <v>87</v>
      </c>
      <c r="C28" s="7">
        <f>' № 7  рп, кцср, квр'!E498</f>
        <v>42724.000000000007</v>
      </c>
      <c r="D28" s="7">
        <f>' № 7  рп, кцср, квр'!F498</f>
        <v>42690.8</v>
      </c>
    </row>
    <row r="29" spans="1:4" ht="32.450000000000003" customHeight="1">
      <c r="A29" s="15" t="s">
        <v>190</v>
      </c>
      <c r="B29" s="13" t="s">
        <v>218</v>
      </c>
      <c r="C29" s="7">
        <f>' № 7  рп, кцср, квр'!E538</f>
        <v>150</v>
      </c>
      <c r="D29" s="7">
        <f>' № 7  рп, кцср, квр'!F538</f>
        <v>33.1</v>
      </c>
    </row>
    <row r="30" spans="1:4">
      <c r="A30" s="15" t="s">
        <v>38</v>
      </c>
      <c r="B30" s="13" t="s">
        <v>94</v>
      </c>
      <c r="C30" s="7">
        <f>' № 7  рп, кцср, квр'!E545</f>
        <v>135.6</v>
      </c>
      <c r="D30" s="7">
        <f>' № 7  рп, кцср, квр'!F545</f>
        <v>135.39999999999998</v>
      </c>
    </row>
    <row r="31" spans="1:4">
      <c r="A31" s="15" t="s">
        <v>51</v>
      </c>
      <c r="B31" s="13" t="s">
        <v>12</v>
      </c>
      <c r="C31" s="7">
        <f>' № 7  рп, кцср, квр'!E564</f>
        <v>11111.5</v>
      </c>
      <c r="D31" s="7">
        <f>' № 7  рп, кцср, квр'!F564</f>
        <v>11067.3</v>
      </c>
    </row>
    <row r="32" spans="1:4">
      <c r="A32" s="4" t="s">
        <v>41</v>
      </c>
      <c r="B32" s="19" t="s">
        <v>80</v>
      </c>
      <c r="C32" s="6">
        <f>C33</f>
        <v>56287.499999999993</v>
      </c>
      <c r="D32" s="6">
        <f>D33</f>
        <v>55324.899999999994</v>
      </c>
    </row>
    <row r="33" spans="1:4">
      <c r="A33" s="25" t="s">
        <v>42</v>
      </c>
      <c r="B33" s="13" t="s">
        <v>13</v>
      </c>
      <c r="C33" s="7">
        <f>' № 7  рп, кцср, квр'!E597</f>
        <v>56287.499999999993</v>
      </c>
      <c r="D33" s="7">
        <f>' № 7  рп, кцср, квр'!F597</f>
        <v>55324.899999999994</v>
      </c>
    </row>
    <row r="34" spans="1:4">
      <c r="A34" s="4" t="s">
        <v>39</v>
      </c>
      <c r="B34" s="19" t="s">
        <v>31</v>
      </c>
      <c r="C34" s="6">
        <f>C35+C36+C37</f>
        <v>34254.6</v>
      </c>
      <c r="D34" s="6">
        <f>D35+D36+D37</f>
        <v>33096</v>
      </c>
    </row>
    <row r="35" spans="1:4">
      <c r="A35" s="72" t="s">
        <v>52</v>
      </c>
      <c r="B35" s="58" t="s">
        <v>32</v>
      </c>
      <c r="C35" s="7">
        <f>' № 7  рп, кцср, квр'!E671</f>
        <v>698.3</v>
      </c>
      <c r="D35" s="7">
        <f>' № 7  рп, кцср, квр'!F671</f>
        <v>617.6</v>
      </c>
    </row>
    <row r="36" spans="1:4">
      <c r="A36" s="73" t="s">
        <v>40</v>
      </c>
      <c r="B36" s="49" t="s">
        <v>34</v>
      </c>
      <c r="C36" s="75">
        <f>' № 7  рп, кцср, квр'!E680</f>
        <v>607.1</v>
      </c>
      <c r="D36" s="7">
        <f>' № 7  рп, кцср, квр'!F680</f>
        <v>572</v>
      </c>
    </row>
    <row r="37" spans="1:4">
      <c r="A37" s="73" t="s">
        <v>82</v>
      </c>
      <c r="B37" s="77" t="s">
        <v>83</v>
      </c>
      <c r="C37" s="76">
        <f>' № 7  рп, кцср, квр'!E692</f>
        <v>32949.199999999997</v>
      </c>
      <c r="D37" s="59">
        <f>' № 7  рп, кцср, квр'!F692</f>
        <v>31906.400000000001</v>
      </c>
    </row>
    <row r="38" spans="1:4">
      <c r="A38" s="16" t="s">
        <v>59</v>
      </c>
      <c r="B38" s="19" t="s">
        <v>30</v>
      </c>
      <c r="C38" s="60">
        <f>C39+C40</f>
        <v>40400.5</v>
      </c>
      <c r="D38" s="60">
        <f>D39+D40</f>
        <v>40293.9</v>
      </c>
    </row>
    <row r="39" spans="1:4">
      <c r="A39" s="73" t="s">
        <v>84</v>
      </c>
      <c r="B39" s="49" t="s">
        <v>60</v>
      </c>
      <c r="C39" s="17">
        <f>' № 7  рп, кцср, квр'!E720</f>
        <v>15859.7</v>
      </c>
      <c r="D39" s="17">
        <f>' № 7  рп, кцср, квр'!F720</f>
        <v>15836.2</v>
      </c>
    </row>
    <row r="40" spans="1:4">
      <c r="A40" s="73">
        <v>1103</v>
      </c>
      <c r="B40" s="74" t="s">
        <v>245</v>
      </c>
      <c r="C40" s="17">
        <f>' № 7  рп, кцср, квр'!E760</f>
        <v>24540.799999999999</v>
      </c>
      <c r="D40" s="17">
        <f>' № 7  рп, кцср, квр'!F760</f>
        <v>24457.7</v>
      </c>
    </row>
    <row r="41" spans="1:4" ht="19.899999999999999" customHeight="1">
      <c r="A41" s="16" t="s">
        <v>88</v>
      </c>
      <c r="B41" s="19" t="s">
        <v>61</v>
      </c>
      <c r="C41" s="60">
        <f>C42</f>
        <v>2101.6999999999998</v>
      </c>
      <c r="D41" s="60">
        <f>D42</f>
        <v>2043.7</v>
      </c>
    </row>
    <row r="42" spans="1:4" ht="14.45" customHeight="1">
      <c r="A42" s="57" t="s">
        <v>62</v>
      </c>
      <c r="B42" s="49" t="s">
        <v>63</v>
      </c>
      <c r="C42" s="17">
        <f>' № 7  рп, кцср, квр'!E795</f>
        <v>2101.6999999999998</v>
      </c>
      <c r="D42" s="17">
        <f>' № 7  рп, кцср, квр'!F795</f>
        <v>2043.7</v>
      </c>
    </row>
  </sheetData>
  <mergeCells count="6">
    <mergeCell ref="B3:B4"/>
    <mergeCell ref="A1:D1"/>
    <mergeCell ref="A2:D2"/>
    <mergeCell ref="A3:A4"/>
    <mergeCell ref="C3:C4"/>
    <mergeCell ref="D3:D4"/>
  </mergeCells>
  <pageMargins left="0.59055118110236227" right="0.19685039370078741" top="0.19685039370078741" bottom="0.19685039370078741" header="0.31496062992125984" footer="0.31496062992125984"/>
  <pageSetup paperSize="9" scale="95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67"/>
  <sheetViews>
    <sheetView topLeftCell="A181" zoomScale="92" zoomScaleNormal="92" workbookViewId="0">
      <selection activeCell="N191" sqref="N191"/>
    </sheetView>
  </sheetViews>
  <sheetFormatPr defaultColWidth="8.85546875" defaultRowHeight="15.75"/>
  <cols>
    <col min="1" max="1" width="6.28515625" style="3" customWidth="1"/>
    <col min="2" max="2" width="5.85546875" style="3" customWidth="1"/>
    <col min="3" max="3" width="14.7109375" style="3" customWidth="1"/>
    <col min="4" max="4" width="5.7109375" style="3" customWidth="1"/>
    <col min="5" max="5" width="67.7109375" style="48" customWidth="1"/>
    <col min="6" max="6" width="13.28515625" style="27" customWidth="1"/>
    <col min="7" max="7" width="14.42578125" style="27" customWidth="1"/>
    <col min="8" max="16384" width="8.85546875" style="3"/>
  </cols>
  <sheetData>
    <row r="1" spans="1:7" ht="54.6" customHeight="1">
      <c r="A1" s="235" t="s">
        <v>64</v>
      </c>
      <c r="B1" s="438" t="s">
        <v>429</v>
      </c>
      <c r="C1" s="438"/>
      <c r="D1" s="438"/>
      <c r="E1" s="438"/>
      <c r="F1" s="438"/>
      <c r="G1" s="438"/>
    </row>
    <row r="2" spans="1:7" ht="18" customHeight="1">
      <c r="A2" s="163"/>
      <c r="B2" s="163"/>
      <c r="C2" s="163"/>
      <c r="D2" s="163"/>
      <c r="E2" s="163"/>
      <c r="F2" s="163"/>
      <c r="G2" s="163"/>
    </row>
    <row r="3" spans="1:7" ht="28.5" customHeight="1">
      <c r="A3" s="439" t="s">
        <v>415</v>
      </c>
      <c r="B3" s="439"/>
      <c r="C3" s="439"/>
      <c r="D3" s="439"/>
      <c r="E3" s="439"/>
      <c r="F3" s="439"/>
      <c r="G3" s="439"/>
    </row>
    <row r="4" spans="1:7" ht="15.6" customHeight="1">
      <c r="A4" s="440" t="s">
        <v>15</v>
      </c>
      <c r="B4" s="440" t="s">
        <v>36</v>
      </c>
      <c r="C4" s="440" t="s">
        <v>16</v>
      </c>
      <c r="D4" s="440" t="s">
        <v>17</v>
      </c>
      <c r="E4" s="441" t="s">
        <v>18</v>
      </c>
      <c r="F4" s="416" t="s">
        <v>411</v>
      </c>
      <c r="G4" s="418" t="s">
        <v>412</v>
      </c>
    </row>
    <row r="5" spans="1:7" ht="31.15" customHeight="1">
      <c r="A5" s="440" t="s">
        <v>64</v>
      </c>
      <c r="B5" s="440" t="s">
        <v>64</v>
      </c>
      <c r="C5" s="440" t="s">
        <v>64</v>
      </c>
      <c r="D5" s="440" t="s">
        <v>64</v>
      </c>
      <c r="E5" s="441" t="s">
        <v>64</v>
      </c>
      <c r="F5" s="417"/>
      <c r="G5" s="419"/>
    </row>
    <row r="6" spans="1:7">
      <c r="A6" s="98" t="s">
        <v>3</v>
      </c>
      <c r="B6" s="98" t="s">
        <v>75</v>
      </c>
      <c r="C6" s="98" t="s">
        <v>76</v>
      </c>
      <c r="D6" s="98" t="s">
        <v>77</v>
      </c>
      <c r="E6" s="100" t="s">
        <v>78</v>
      </c>
      <c r="F6" s="100" t="s">
        <v>79</v>
      </c>
      <c r="G6" s="100" t="s">
        <v>89</v>
      </c>
    </row>
    <row r="7" spans="1:7">
      <c r="A7" s="16" t="s">
        <v>64</v>
      </c>
      <c r="B7" s="16" t="s">
        <v>64</v>
      </c>
      <c r="C7" s="16" t="s">
        <v>64</v>
      </c>
      <c r="D7" s="16" t="s">
        <v>64</v>
      </c>
      <c r="E7" s="45" t="s">
        <v>0</v>
      </c>
      <c r="F7" s="26">
        <f>F8+F541+F561+F622+F636</f>
        <v>1322360.3999999999</v>
      </c>
      <c r="G7" s="26">
        <f>G8+G541+G561+G622+G636</f>
        <v>1175067.3</v>
      </c>
    </row>
    <row r="8" spans="1:7" ht="31.5">
      <c r="A8" s="16" t="s">
        <v>19</v>
      </c>
      <c r="B8" s="24" t="s">
        <v>64</v>
      </c>
      <c r="C8" s="24" t="s">
        <v>64</v>
      </c>
      <c r="D8" s="24" t="s">
        <v>64</v>
      </c>
      <c r="E8" s="45" t="s">
        <v>265</v>
      </c>
      <c r="F8" s="26">
        <f>F9+F113+F137+F188+F284+F349+F422+F527+F452</f>
        <v>563040.80000000005</v>
      </c>
      <c r="G8" s="26">
        <f>G9+G113+G137+G188+G284+G349+G422+G527+G452</f>
        <v>423906.30000000005</v>
      </c>
    </row>
    <row r="9" spans="1:7">
      <c r="A9" s="98" t="s">
        <v>19</v>
      </c>
      <c r="B9" s="98" t="s">
        <v>53</v>
      </c>
      <c r="C9" s="98" t="s">
        <v>64</v>
      </c>
      <c r="D9" s="98" t="s">
        <v>64</v>
      </c>
      <c r="E9" s="46" t="s">
        <v>20</v>
      </c>
      <c r="F9" s="21">
        <f>F10+F27+F40+F33</f>
        <v>62043.299999999996</v>
      </c>
      <c r="G9" s="21">
        <f>G10+G27+G40+G33</f>
        <v>60014.700000000004</v>
      </c>
    </row>
    <row r="10" spans="1:7" ht="47.25">
      <c r="A10" s="98" t="s">
        <v>19</v>
      </c>
      <c r="B10" s="98" t="s">
        <v>44</v>
      </c>
      <c r="C10" s="98" t="s">
        <v>64</v>
      </c>
      <c r="D10" s="98" t="s">
        <v>64</v>
      </c>
      <c r="E10" s="99" t="s">
        <v>22</v>
      </c>
      <c r="F10" s="21">
        <f t="shared" ref="F10:G12" si="0">F11</f>
        <v>28830.000000000004</v>
      </c>
      <c r="G10" s="21">
        <f t="shared" si="0"/>
        <v>28713.100000000002</v>
      </c>
    </row>
    <row r="11" spans="1:7">
      <c r="A11" s="98" t="s">
        <v>19</v>
      </c>
      <c r="B11" s="98" t="s">
        <v>44</v>
      </c>
      <c r="C11" s="98">
        <v>9900000000</v>
      </c>
      <c r="D11" s="98"/>
      <c r="E11" s="99" t="s">
        <v>100</v>
      </c>
      <c r="F11" s="21">
        <f t="shared" si="0"/>
        <v>28830.000000000004</v>
      </c>
      <c r="G11" s="21">
        <f t="shared" si="0"/>
        <v>28713.100000000002</v>
      </c>
    </row>
    <row r="12" spans="1:7" ht="31.5">
      <c r="A12" s="98" t="s">
        <v>19</v>
      </c>
      <c r="B12" s="98" t="s">
        <v>44</v>
      </c>
      <c r="C12" s="98">
        <v>9990000000</v>
      </c>
      <c r="D12" s="98"/>
      <c r="E12" s="99" t="s">
        <v>141</v>
      </c>
      <c r="F12" s="21">
        <f t="shared" si="0"/>
        <v>28830.000000000004</v>
      </c>
      <c r="G12" s="21">
        <f t="shared" si="0"/>
        <v>28713.100000000002</v>
      </c>
    </row>
    <row r="13" spans="1:7" ht="31.5">
      <c r="A13" s="98" t="s">
        <v>19</v>
      </c>
      <c r="B13" s="98" t="s">
        <v>44</v>
      </c>
      <c r="C13" s="98">
        <v>9990200000</v>
      </c>
      <c r="D13" s="24"/>
      <c r="E13" s="99" t="s">
        <v>112</v>
      </c>
      <c r="F13" s="21">
        <f>F17+F14+F24</f>
        <v>28830.000000000004</v>
      </c>
      <c r="G13" s="21">
        <f t="shared" ref="G13" si="1">G17+G14+G24</f>
        <v>28713.100000000002</v>
      </c>
    </row>
    <row r="14" spans="1:7" ht="47.25" customHeight="1">
      <c r="A14" s="98" t="s">
        <v>19</v>
      </c>
      <c r="B14" s="98" t="s">
        <v>44</v>
      </c>
      <c r="C14" s="98">
        <v>9990210510</v>
      </c>
      <c r="D14" s="98"/>
      <c r="E14" s="99" t="s">
        <v>142</v>
      </c>
      <c r="F14" s="21">
        <f t="shared" ref="F14:G15" si="2">F15</f>
        <v>733.2</v>
      </c>
      <c r="G14" s="21">
        <f t="shared" si="2"/>
        <v>733.2</v>
      </c>
    </row>
    <row r="15" spans="1:7" ht="63">
      <c r="A15" s="98" t="s">
        <v>19</v>
      </c>
      <c r="B15" s="98" t="s">
        <v>44</v>
      </c>
      <c r="C15" s="98">
        <v>9990210510</v>
      </c>
      <c r="D15" s="98" t="s">
        <v>66</v>
      </c>
      <c r="E15" s="99" t="s">
        <v>1</v>
      </c>
      <c r="F15" s="21">
        <f t="shared" si="2"/>
        <v>733.2</v>
      </c>
      <c r="G15" s="21">
        <f t="shared" si="2"/>
        <v>733.2</v>
      </c>
    </row>
    <row r="16" spans="1:7" ht="31.5">
      <c r="A16" s="98" t="s">
        <v>19</v>
      </c>
      <c r="B16" s="98" t="s">
        <v>44</v>
      </c>
      <c r="C16" s="98">
        <v>9990210510</v>
      </c>
      <c r="D16" s="98">
        <v>120</v>
      </c>
      <c r="E16" s="99" t="s">
        <v>217</v>
      </c>
      <c r="F16" s="21">
        <f>697+36.2</f>
        <v>733.2</v>
      </c>
      <c r="G16" s="21">
        <v>733.2</v>
      </c>
    </row>
    <row r="17" spans="1:7" ht="47.25">
      <c r="A17" s="98" t="s">
        <v>19</v>
      </c>
      <c r="B17" s="98" t="s">
        <v>44</v>
      </c>
      <c r="C17" s="98">
        <v>9990225000</v>
      </c>
      <c r="D17" s="98"/>
      <c r="E17" s="99" t="s">
        <v>113</v>
      </c>
      <c r="F17" s="21">
        <f>F18+F22+F20</f>
        <v>27593.9</v>
      </c>
      <c r="G17" s="21">
        <f t="shared" ref="G17" si="3">G18+G22+G20</f>
        <v>27560.9</v>
      </c>
    </row>
    <row r="18" spans="1:7" ht="63">
      <c r="A18" s="98" t="s">
        <v>19</v>
      </c>
      <c r="B18" s="98" t="s">
        <v>44</v>
      </c>
      <c r="C18" s="98">
        <v>9990225000</v>
      </c>
      <c r="D18" s="98" t="s">
        <v>66</v>
      </c>
      <c r="E18" s="99" t="s">
        <v>1</v>
      </c>
      <c r="F18" s="21">
        <f>F19</f>
        <v>27476.2</v>
      </c>
      <c r="G18" s="21">
        <f>G19</f>
        <v>27476.2</v>
      </c>
    </row>
    <row r="19" spans="1:7" ht="31.5">
      <c r="A19" s="98" t="s">
        <v>19</v>
      </c>
      <c r="B19" s="98" t="s">
        <v>44</v>
      </c>
      <c r="C19" s="98">
        <v>9990225000</v>
      </c>
      <c r="D19" s="98">
        <v>120</v>
      </c>
      <c r="E19" s="99" t="s">
        <v>217</v>
      </c>
      <c r="F19" s="21">
        <f>24530.5+1349.2+418+431.5+747</f>
        <v>27476.2</v>
      </c>
      <c r="G19" s="21">
        <v>27476.2</v>
      </c>
    </row>
    <row r="20" spans="1:7" ht="31.5">
      <c r="A20" s="212" t="s">
        <v>19</v>
      </c>
      <c r="B20" s="212" t="s">
        <v>44</v>
      </c>
      <c r="C20" s="212">
        <v>9990225000</v>
      </c>
      <c r="D20" s="211" t="s">
        <v>67</v>
      </c>
      <c r="E20" s="213" t="s">
        <v>90</v>
      </c>
      <c r="F20" s="21">
        <f>F21</f>
        <v>33</v>
      </c>
      <c r="G20" s="21">
        <f t="shared" ref="G20" si="4">G21</f>
        <v>0</v>
      </c>
    </row>
    <row r="21" spans="1:7" ht="31.5">
      <c r="A21" s="212" t="s">
        <v>19</v>
      </c>
      <c r="B21" s="212" t="s">
        <v>44</v>
      </c>
      <c r="C21" s="212">
        <v>9990225000</v>
      </c>
      <c r="D21" s="212">
        <v>240</v>
      </c>
      <c r="E21" s="213" t="s">
        <v>216</v>
      </c>
      <c r="F21" s="21">
        <v>33</v>
      </c>
      <c r="G21" s="21">
        <v>0</v>
      </c>
    </row>
    <row r="22" spans="1:7">
      <c r="A22" s="98" t="s">
        <v>19</v>
      </c>
      <c r="B22" s="98" t="s">
        <v>44</v>
      </c>
      <c r="C22" s="98">
        <v>9990225000</v>
      </c>
      <c r="D22" s="98" t="s">
        <v>68</v>
      </c>
      <c r="E22" s="99" t="s">
        <v>69</v>
      </c>
      <c r="F22" s="21">
        <f>F23</f>
        <v>84.7</v>
      </c>
      <c r="G22" s="21">
        <f>G23</f>
        <v>84.7</v>
      </c>
    </row>
    <row r="23" spans="1:7">
      <c r="A23" s="98" t="s">
        <v>19</v>
      </c>
      <c r="B23" s="98" t="s">
        <v>44</v>
      </c>
      <c r="C23" s="98">
        <v>9990225000</v>
      </c>
      <c r="D23" s="98">
        <v>850</v>
      </c>
      <c r="E23" s="99" t="s">
        <v>95</v>
      </c>
      <c r="F23" s="21">
        <f>79.5+5.2</f>
        <v>84.7</v>
      </c>
      <c r="G23" s="21">
        <v>84.7</v>
      </c>
    </row>
    <row r="24" spans="1:7" ht="47.25">
      <c r="A24" s="218" t="s">
        <v>19</v>
      </c>
      <c r="B24" s="218" t="s">
        <v>44</v>
      </c>
      <c r="C24" s="229">
        <v>9990255492</v>
      </c>
      <c r="D24" s="224"/>
      <c r="E24" s="225" t="s">
        <v>409</v>
      </c>
      <c r="F24" s="21">
        <f>F25</f>
        <v>502.9</v>
      </c>
      <c r="G24" s="21">
        <f t="shared" ref="G24:G25" si="5">G25</f>
        <v>419</v>
      </c>
    </row>
    <row r="25" spans="1:7" ht="63">
      <c r="A25" s="218" t="s">
        <v>19</v>
      </c>
      <c r="B25" s="218" t="s">
        <v>44</v>
      </c>
      <c r="C25" s="229">
        <v>9990255492</v>
      </c>
      <c r="D25" s="224" t="s">
        <v>66</v>
      </c>
      <c r="E25" s="225" t="s">
        <v>1</v>
      </c>
      <c r="F25" s="21">
        <f>F26</f>
        <v>502.9</v>
      </c>
      <c r="G25" s="21">
        <f t="shared" si="5"/>
        <v>419</v>
      </c>
    </row>
    <row r="26" spans="1:7" ht="31.5">
      <c r="A26" s="218" t="s">
        <v>19</v>
      </c>
      <c r="B26" s="218" t="s">
        <v>44</v>
      </c>
      <c r="C26" s="229">
        <v>9990255492</v>
      </c>
      <c r="D26" s="224">
        <v>120</v>
      </c>
      <c r="E26" s="225" t="s">
        <v>217</v>
      </c>
      <c r="F26" s="21">
        <v>502.9</v>
      </c>
      <c r="G26" s="21">
        <v>419</v>
      </c>
    </row>
    <row r="27" spans="1:7">
      <c r="A27" s="98" t="s">
        <v>19</v>
      </c>
      <c r="B27" s="9" t="s">
        <v>148</v>
      </c>
      <c r="C27" s="10"/>
      <c r="D27" s="12"/>
      <c r="E27" s="42" t="s">
        <v>149</v>
      </c>
      <c r="F27" s="21">
        <f>F28</f>
        <v>4.6000000000000014</v>
      </c>
      <c r="G27" s="21">
        <f>G28</f>
        <v>4.5999999999999996</v>
      </c>
    </row>
    <row r="28" spans="1:7">
      <c r="A28" s="98" t="s">
        <v>19</v>
      </c>
      <c r="B28" s="9" t="s">
        <v>148</v>
      </c>
      <c r="C28" s="98">
        <v>9900000000</v>
      </c>
      <c r="D28" s="98"/>
      <c r="E28" s="99" t="s">
        <v>100</v>
      </c>
      <c r="F28" s="21">
        <f>F29</f>
        <v>4.6000000000000014</v>
      </c>
      <c r="G28" s="21">
        <f t="shared" ref="G28:G31" si="6">G29</f>
        <v>4.5999999999999996</v>
      </c>
    </row>
    <row r="29" spans="1:7" ht="31.5">
      <c r="A29" s="98" t="s">
        <v>19</v>
      </c>
      <c r="B29" s="9" t="s">
        <v>148</v>
      </c>
      <c r="C29" s="98">
        <v>9930000000</v>
      </c>
      <c r="D29" s="98"/>
      <c r="E29" s="99" t="s">
        <v>150</v>
      </c>
      <c r="F29" s="21">
        <f>F30</f>
        <v>4.6000000000000014</v>
      </c>
      <c r="G29" s="21">
        <f t="shared" si="6"/>
        <v>4.5999999999999996</v>
      </c>
    </row>
    <row r="30" spans="1:7" ht="47.25">
      <c r="A30" s="98" t="s">
        <v>19</v>
      </c>
      <c r="B30" s="9" t="s">
        <v>148</v>
      </c>
      <c r="C30" s="98">
        <v>9930051200</v>
      </c>
      <c r="D30" s="98"/>
      <c r="E30" s="99" t="s">
        <v>151</v>
      </c>
      <c r="F30" s="21">
        <f>F31</f>
        <v>4.6000000000000014</v>
      </c>
      <c r="G30" s="21">
        <f t="shared" si="6"/>
        <v>4.5999999999999996</v>
      </c>
    </row>
    <row r="31" spans="1:7" ht="31.5">
      <c r="A31" s="98" t="s">
        <v>19</v>
      </c>
      <c r="B31" s="9" t="s">
        <v>148</v>
      </c>
      <c r="C31" s="98">
        <v>9930051200</v>
      </c>
      <c r="D31" s="98" t="s">
        <v>67</v>
      </c>
      <c r="E31" s="99" t="s">
        <v>90</v>
      </c>
      <c r="F31" s="21">
        <f>F32</f>
        <v>4.6000000000000014</v>
      </c>
      <c r="G31" s="21">
        <f t="shared" si="6"/>
        <v>4.5999999999999996</v>
      </c>
    </row>
    <row r="32" spans="1:7" ht="31.5">
      <c r="A32" s="98" t="s">
        <v>19</v>
      </c>
      <c r="B32" s="9" t="s">
        <v>148</v>
      </c>
      <c r="C32" s="98">
        <v>9930051200</v>
      </c>
      <c r="D32" s="98">
        <v>240</v>
      </c>
      <c r="E32" s="99" t="s">
        <v>216</v>
      </c>
      <c r="F32" s="21">
        <f>14.3-9.7</f>
        <v>4.6000000000000014</v>
      </c>
      <c r="G32" s="21">
        <v>4.5999999999999996</v>
      </c>
    </row>
    <row r="33" spans="1:7">
      <c r="A33" s="98" t="s">
        <v>19</v>
      </c>
      <c r="B33" s="64" t="s">
        <v>207</v>
      </c>
      <c r="C33" s="63"/>
      <c r="D33" s="63"/>
      <c r="E33" s="65" t="s">
        <v>209</v>
      </c>
      <c r="F33" s="21">
        <f t="shared" ref="F33:F38" si="7">F34</f>
        <v>88.6</v>
      </c>
      <c r="G33" s="21">
        <f t="shared" ref="G33:G38" si="8">G34</f>
        <v>88.6</v>
      </c>
    </row>
    <row r="34" spans="1:7" ht="47.25">
      <c r="A34" s="98" t="s">
        <v>19</v>
      </c>
      <c r="B34" s="9" t="s">
        <v>207</v>
      </c>
      <c r="C34" s="100">
        <v>2200000000</v>
      </c>
      <c r="D34" s="98"/>
      <c r="E34" s="99" t="s">
        <v>311</v>
      </c>
      <c r="F34" s="21">
        <f t="shared" si="7"/>
        <v>88.6</v>
      </c>
      <c r="G34" s="21">
        <f t="shared" si="8"/>
        <v>88.6</v>
      </c>
    </row>
    <row r="35" spans="1:7" ht="31.5">
      <c r="A35" s="98" t="s">
        <v>19</v>
      </c>
      <c r="B35" s="9" t="s">
        <v>207</v>
      </c>
      <c r="C35" s="98">
        <v>2240000000</v>
      </c>
      <c r="D35" s="98"/>
      <c r="E35" s="99" t="s">
        <v>127</v>
      </c>
      <c r="F35" s="21">
        <f t="shared" si="7"/>
        <v>88.6</v>
      </c>
      <c r="G35" s="21">
        <f t="shared" si="8"/>
        <v>88.6</v>
      </c>
    </row>
    <row r="36" spans="1:7" ht="31.5">
      <c r="A36" s="98" t="s">
        <v>19</v>
      </c>
      <c r="B36" s="22" t="s">
        <v>207</v>
      </c>
      <c r="C36" s="98">
        <v>2240500000</v>
      </c>
      <c r="D36" s="98"/>
      <c r="E36" s="99" t="s">
        <v>128</v>
      </c>
      <c r="F36" s="21">
        <f t="shared" si="7"/>
        <v>88.6</v>
      </c>
      <c r="G36" s="21">
        <f t="shared" si="8"/>
        <v>88.6</v>
      </c>
    </row>
    <row r="37" spans="1:7" ht="31.5">
      <c r="A37" s="98" t="s">
        <v>19</v>
      </c>
      <c r="B37" s="9" t="s">
        <v>207</v>
      </c>
      <c r="C37" s="98">
        <v>2240520410</v>
      </c>
      <c r="D37" s="98"/>
      <c r="E37" s="99" t="s">
        <v>196</v>
      </c>
      <c r="F37" s="21">
        <f t="shared" si="7"/>
        <v>88.6</v>
      </c>
      <c r="G37" s="21">
        <f t="shared" si="8"/>
        <v>88.6</v>
      </c>
    </row>
    <row r="38" spans="1:7">
      <c r="A38" s="98" t="s">
        <v>19</v>
      </c>
      <c r="B38" s="9" t="s">
        <v>207</v>
      </c>
      <c r="C38" s="98">
        <v>2240520410</v>
      </c>
      <c r="D38" s="98" t="s">
        <v>68</v>
      </c>
      <c r="E38" s="99" t="s">
        <v>69</v>
      </c>
      <c r="F38" s="21">
        <f t="shared" si="7"/>
        <v>88.6</v>
      </c>
      <c r="G38" s="21">
        <f t="shared" si="8"/>
        <v>88.6</v>
      </c>
    </row>
    <row r="39" spans="1:7" ht="31.5">
      <c r="A39" s="98" t="s">
        <v>19</v>
      </c>
      <c r="B39" s="9" t="s">
        <v>207</v>
      </c>
      <c r="C39" s="98">
        <v>2240520410</v>
      </c>
      <c r="D39" s="98">
        <v>860</v>
      </c>
      <c r="E39" s="99" t="s">
        <v>219</v>
      </c>
      <c r="F39" s="21">
        <v>88.6</v>
      </c>
      <c r="G39" s="21">
        <v>88.6</v>
      </c>
    </row>
    <row r="40" spans="1:7">
      <c r="A40" s="98" t="s">
        <v>19</v>
      </c>
      <c r="B40" s="98" t="s">
        <v>58</v>
      </c>
      <c r="C40" s="98" t="s">
        <v>64</v>
      </c>
      <c r="D40" s="98" t="s">
        <v>64</v>
      </c>
      <c r="E40" s="99" t="s">
        <v>23</v>
      </c>
      <c r="F40" s="21">
        <f>F41+F57+F96+F78</f>
        <v>33120.1</v>
      </c>
      <c r="G40" s="21">
        <f>G41+G57+G96+G78</f>
        <v>31208.400000000001</v>
      </c>
    </row>
    <row r="41" spans="1:7" ht="47.25">
      <c r="A41" s="98" t="s">
        <v>19</v>
      </c>
      <c r="B41" s="98" t="s">
        <v>58</v>
      </c>
      <c r="C41" s="100">
        <v>2200000000</v>
      </c>
      <c r="D41" s="98"/>
      <c r="E41" s="99" t="s">
        <v>311</v>
      </c>
      <c r="F41" s="21">
        <f>F42</f>
        <v>831.19999999999993</v>
      </c>
      <c r="G41" s="21">
        <f>G42</f>
        <v>830.6</v>
      </c>
    </row>
    <row r="42" spans="1:7" ht="31.5">
      <c r="A42" s="98" t="s">
        <v>19</v>
      </c>
      <c r="B42" s="98" t="s">
        <v>58</v>
      </c>
      <c r="C42" s="98">
        <v>2240000000</v>
      </c>
      <c r="D42" s="98"/>
      <c r="E42" s="99" t="s">
        <v>127</v>
      </c>
      <c r="F42" s="21">
        <f>F43+F50</f>
        <v>831.19999999999993</v>
      </c>
      <c r="G42" s="21">
        <f>G43+G50</f>
        <v>830.6</v>
      </c>
    </row>
    <row r="43" spans="1:7" ht="31.5">
      <c r="A43" s="98" t="s">
        <v>19</v>
      </c>
      <c r="B43" s="98" t="s">
        <v>58</v>
      </c>
      <c r="C43" s="98">
        <v>2240200000</v>
      </c>
      <c r="D43" s="98"/>
      <c r="E43" s="99" t="s">
        <v>139</v>
      </c>
      <c r="F43" s="21">
        <f>F44+F47</f>
        <v>80.599999999999994</v>
      </c>
      <c r="G43" s="21">
        <f>G44+G47</f>
        <v>80.5</v>
      </c>
    </row>
    <row r="44" spans="1:7">
      <c r="A44" s="98" t="s">
        <v>19</v>
      </c>
      <c r="B44" s="98" t="s">
        <v>58</v>
      </c>
      <c r="C44" s="98">
        <v>2240220340</v>
      </c>
      <c r="D44" s="98"/>
      <c r="E44" s="99" t="s">
        <v>143</v>
      </c>
      <c r="F44" s="21">
        <f>F45</f>
        <v>74</v>
      </c>
      <c r="G44" s="21">
        <f>G45</f>
        <v>74</v>
      </c>
    </row>
    <row r="45" spans="1:7" ht="31.5">
      <c r="A45" s="98" t="s">
        <v>19</v>
      </c>
      <c r="B45" s="98" t="s">
        <v>58</v>
      </c>
      <c r="C45" s="98">
        <v>2240220340</v>
      </c>
      <c r="D45" s="100" t="s">
        <v>67</v>
      </c>
      <c r="E45" s="99" t="s">
        <v>90</v>
      </c>
      <c r="F45" s="21">
        <f>F46</f>
        <v>74</v>
      </c>
      <c r="G45" s="21">
        <f>G46</f>
        <v>74</v>
      </c>
    </row>
    <row r="46" spans="1:7" ht="31.5">
      <c r="A46" s="98" t="s">
        <v>19</v>
      </c>
      <c r="B46" s="98" t="s">
        <v>58</v>
      </c>
      <c r="C46" s="98">
        <v>2240220340</v>
      </c>
      <c r="D46" s="98">
        <v>240</v>
      </c>
      <c r="E46" s="99" t="s">
        <v>216</v>
      </c>
      <c r="F46" s="21">
        <f>109.4-35.4</f>
        <v>74</v>
      </c>
      <c r="G46" s="21">
        <v>74</v>
      </c>
    </row>
    <row r="47" spans="1:7" ht="31.5">
      <c r="A47" s="98" t="s">
        <v>19</v>
      </c>
      <c r="B47" s="98" t="s">
        <v>58</v>
      </c>
      <c r="C47" s="98">
        <v>2240220360</v>
      </c>
      <c r="D47" s="98"/>
      <c r="E47" s="47" t="s">
        <v>220</v>
      </c>
      <c r="F47" s="21">
        <f t="shared" ref="F47:G48" si="9">F48</f>
        <v>6.6</v>
      </c>
      <c r="G47" s="21">
        <f t="shared" si="9"/>
        <v>6.5</v>
      </c>
    </row>
    <row r="48" spans="1:7">
      <c r="A48" s="98" t="s">
        <v>19</v>
      </c>
      <c r="B48" s="98" t="s">
        <v>58</v>
      </c>
      <c r="C48" s="98">
        <v>2240220360</v>
      </c>
      <c r="D48" s="100" t="s">
        <v>71</v>
      </c>
      <c r="E48" s="99" t="s">
        <v>72</v>
      </c>
      <c r="F48" s="21">
        <f t="shared" si="9"/>
        <v>6.6</v>
      </c>
      <c r="G48" s="21">
        <f t="shared" si="9"/>
        <v>6.5</v>
      </c>
    </row>
    <row r="49" spans="1:7">
      <c r="A49" s="98" t="s">
        <v>19</v>
      </c>
      <c r="B49" s="98" t="s">
        <v>58</v>
      </c>
      <c r="C49" s="98">
        <v>2240220360</v>
      </c>
      <c r="D49" s="98">
        <v>350</v>
      </c>
      <c r="E49" s="47" t="s">
        <v>144</v>
      </c>
      <c r="F49" s="21">
        <v>6.6</v>
      </c>
      <c r="G49" s="21">
        <v>6.5</v>
      </c>
    </row>
    <row r="50" spans="1:7" ht="31.5">
      <c r="A50" s="98" t="s">
        <v>19</v>
      </c>
      <c r="B50" s="98" t="s">
        <v>58</v>
      </c>
      <c r="C50" s="98">
        <v>2240500000</v>
      </c>
      <c r="D50" s="98"/>
      <c r="E50" s="99" t="s">
        <v>128</v>
      </c>
      <c r="F50" s="21">
        <f>F51+F54</f>
        <v>750.59999999999991</v>
      </c>
      <c r="G50" s="21">
        <f>G51+G54</f>
        <v>750.1</v>
      </c>
    </row>
    <row r="51" spans="1:7" ht="31.5">
      <c r="A51" s="98" t="s">
        <v>19</v>
      </c>
      <c r="B51" s="98" t="s">
        <v>58</v>
      </c>
      <c r="C51" s="98">
        <v>2240520410</v>
      </c>
      <c r="D51" s="98"/>
      <c r="E51" s="99" t="s">
        <v>196</v>
      </c>
      <c r="F51" s="21">
        <f t="shared" ref="F51:G52" si="10">F52</f>
        <v>126.8</v>
      </c>
      <c r="G51" s="21">
        <f t="shared" si="10"/>
        <v>126.5</v>
      </c>
    </row>
    <row r="52" spans="1:7">
      <c r="A52" s="98" t="s">
        <v>19</v>
      </c>
      <c r="B52" s="98" t="s">
        <v>58</v>
      </c>
      <c r="C52" s="98">
        <v>2240520410</v>
      </c>
      <c r="D52" s="98" t="s">
        <v>68</v>
      </c>
      <c r="E52" s="99" t="s">
        <v>69</v>
      </c>
      <c r="F52" s="21">
        <f t="shared" si="10"/>
        <v>126.8</v>
      </c>
      <c r="G52" s="21">
        <f t="shared" si="10"/>
        <v>126.5</v>
      </c>
    </row>
    <row r="53" spans="1:7">
      <c r="A53" s="98" t="s">
        <v>19</v>
      </c>
      <c r="B53" s="98" t="s">
        <v>58</v>
      </c>
      <c r="C53" s="98">
        <v>2240520410</v>
      </c>
      <c r="D53" s="98">
        <v>850</v>
      </c>
      <c r="E53" s="99" t="s">
        <v>95</v>
      </c>
      <c r="F53" s="21">
        <f>116.8+10</f>
        <v>126.8</v>
      </c>
      <c r="G53" s="21">
        <v>126.5</v>
      </c>
    </row>
    <row r="54" spans="1:7" ht="31.5">
      <c r="A54" s="98" t="s">
        <v>19</v>
      </c>
      <c r="B54" s="98" t="s">
        <v>58</v>
      </c>
      <c r="C54" s="98">
        <v>2240520460</v>
      </c>
      <c r="D54" s="98"/>
      <c r="E54" s="99" t="s">
        <v>210</v>
      </c>
      <c r="F54" s="21">
        <f t="shared" ref="F54:G55" si="11">F55</f>
        <v>623.79999999999995</v>
      </c>
      <c r="G54" s="21">
        <f t="shared" si="11"/>
        <v>623.6</v>
      </c>
    </row>
    <row r="55" spans="1:7" ht="31.5">
      <c r="A55" s="98" t="s">
        <v>19</v>
      </c>
      <c r="B55" s="98" t="s">
        <v>58</v>
      </c>
      <c r="C55" s="98">
        <v>2240520460</v>
      </c>
      <c r="D55" s="100" t="s">
        <v>67</v>
      </c>
      <c r="E55" s="99" t="s">
        <v>90</v>
      </c>
      <c r="F55" s="21">
        <f t="shared" si="11"/>
        <v>623.79999999999995</v>
      </c>
      <c r="G55" s="21">
        <f t="shared" si="11"/>
        <v>623.6</v>
      </c>
    </row>
    <row r="56" spans="1:7" ht="31.5">
      <c r="A56" s="98" t="s">
        <v>19</v>
      </c>
      <c r="B56" s="98" t="s">
        <v>58</v>
      </c>
      <c r="C56" s="98">
        <v>2240520460</v>
      </c>
      <c r="D56" s="98">
        <v>240</v>
      </c>
      <c r="E56" s="99" t="s">
        <v>216</v>
      </c>
      <c r="F56" s="21">
        <f>445.4+143+35.4</f>
        <v>623.79999999999995</v>
      </c>
      <c r="G56" s="21">
        <v>623.6</v>
      </c>
    </row>
    <row r="57" spans="1:7" ht="31.5">
      <c r="A57" s="98" t="s">
        <v>19</v>
      </c>
      <c r="B57" s="98" t="s">
        <v>58</v>
      </c>
      <c r="C57" s="100">
        <v>2500000000</v>
      </c>
      <c r="D57" s="98"/>
      <c r="E57" s="99" t="s">
        <v>312</v>
      </c>
      <c r="F57" s="21">
        <f>F58+F63+F68+F74</f>
        <v>1476.8</v>
      </c>
      <c r="G57" s="21">
        <f>G58+G63+G68+G74</f>
        <v>1284.7</v>
      </c>
    </row>
    <row r="58" spans="1:7">
      <c r="A58" s="98" t="s">
        <v>19</v>
      </c>
      <c r="B58" s="98" t="s">
        <v>58</v>
      </c>
      <c r="C58" s="98">
        <v>2510000000</v>
      </c>
      <c r="D58" s="98"/>
      <c r="E58" s="99" t="s">
        <v>146</v>
      </c>
      <c r="F58" s="21">
        <f>F59</f>
        <v>110.5</v>
      </c>
      <c r="G58" s="21">
        <f>G59</f>
        <v>110.4</v>
      </c>
    </row>
    <row r="59" spans="1:7" ht="47.25">
      <c r="A59" s="98" t="s">
        <v>19</v>
      </c>
      <c r="B59" s="98" t="s">
        <v>58</v>
      </c>
      <c r="C59" s="98">
        <v>2510200000</v>
      </c>
      <c r="D59" s="98"/>
      <c r="E59" s="99" t="s">
        <v>168</v>
      </c>
      <c r="F59" s="21">
        <f>F60</f>
        <v>110.5</v>
      </c>
      <c r="G59" s="21">
        <f t="shared" ref="G59:G61" si="12">G60</f>
        <v>110.4</v>
      </c>
    </row>
    <row r="60" spans="1:7" ht="31.5">
      <c r="A60" s="98" t="s">
        <v>19</v>
      </c>
      <c r="B60" s="98" t="s">
        <v>58</v>
      </c>
      <c r="C60" s="98">
        <v>2510220170</v>
      </c>
      <c r="D60" s="98"/>
      <c r="E60" s="99" t="s">
        <v>169</v>
      </c>
      <c r="F60" s="21">
        <f>F61</f>
        <v>110.5</v>
      </c>
      <c r="G60" s="21">
        <f t="shared" si="12"/>
        <v>110.4</v>
      </c>
    </row>
    <row r="61" spans="1:7" ht="63">
      <c r="A61" s="98" t="s">
        <v>19</v>
      </c>
      <c r="B61" s="98" t="s">
        <v>58</v>
      </c>
      <c r="C61" s="98">
        <v>2510220170</v>
      </c>
      <c r="D61" s="98" t="s">
        <v>66</v>
      </c>
      <c r="E61" s="99" t="s">
        <v>1</v>
      </c>
      <c r="F61" s="21">
        <f>F62</f>
        <v>110.5</v>
      </c>
      <c r="G61" s="21">
        <f t="shared" si="12"/>
        <v>110.4</v>
      </c>
    </row>
    <row r="62" spans="1:7" ht="31.5">
      <c r="A62" s="98" t="s">
        <v>19</v>
      </c>
      <c r="B62" s="98" t="s">
        <v>58</v>
      </c>
      <c r="C62" s="98">
        <v>2510220170</v>
      </c>
      <c r="D62" s="98">
        <v>120</v>
      </c>
      <c r="E62" s="99" t="s">
        <v>217</v>
      </c>
      <c r="F62" s="21">
        <v>110.5</v>
      </c>
      <c r="G62" s="21">
        <v>110.4</v>
      </c>
    </row>
    <row r="63" spans="1:7" ht="31.5">
      <c r="A63" s="138" t="s">
        <v>19</v>
      </c>
      <c r="B63" s="138" t="s">
        <v>58</v>
      </c>
      <c r="C63" s="137">
        <v>2520000000</v>
      </c>
      <c r="D63" s="138"/>
      <c r="E63" s="56" t="s">
        <v>227</v>
      </c>
      <c r="F63" s="21">
        <f>F64</f>
        <v>82.5</v>
      </c>
      <c r="G63" s="21">
        <f t="shared" ref="G63" si="13">G64</f>
        <v>73.900000000000006</v>
      </c>
    </row>
    <row r="64" spans="1:7" ht="31.5">
      <c r="A64" s="138" t="s">
        <v>19</v>
      </c>
      <c r="B64" s="138" t="s">
        <v>58</v>
      </c>
      <c r="C64" s="137">
        <v>2520400000</v>
      </c>
      <c r="D64" s="138"/>
      <c r="E64" s="56" t="s">
        <v>330</v>
      </c>
      <c r="F64" s="21">
        <f>F65</f>
        <v>82.5</v>
      </c>
      <c r="G64" s="21">
        <f t="shared" ref="G64:G66" si="14">G65</f>
        <v>73.900000000000006</v>
      </c>
    </row>
    <row r="65" spans="1:7">
      <c r="A65" s="138" t="s">
        <v>19</v>
      </c>
      <c r="B65" s="138" t="s">
        <v>58</v>
      </c>
      <c r="C65" s="137">
        <v>2520420300</v>
      </c>
      <c r="D65" s="138"/>
      <c r="E65" s="56" t="s">
        <v>331</v>
      </c>
      <c r="F65" s="21">
        <f>F66</f>
        <v>82.5</v>
      </c>
      <c r="G65" s="21">
        <f t="shared" si="14"/>
        <v>73.900000000000006</v>
      </c>
    </row>
    <row r="66" spans="1:7" ht="31.5">
      <c r="A66" s="138" t="s">
        <v>19</v>
      </c>
      <c r="B66" s="138" t="s">
        <v>58</v>
      </c>
      <c r="C66" s="137">
        <v>2520420300</v>
      </c>
      <c r="D66" s="137" t="s">
        <v>67</v>
      </c>
      <c r="E66" s="139" t="s">
        <v>90</v>
      </c>
      <c r="F66" s="21">
        <f>F67</f>
        <v>82.5</v>
      </c>
      <c r="G66" s="21">
        <f t="shared" si="14"/>
        <v>73.900000000000006</v>
      </c>
    </row>
    <row r="67" spans="1:7" ht="31.5">
      <c r="A67" s="138" t="s">
        <v>19</v>
      </c>
      <c r="B67" s="138" t="s">
        <v>58</v>
      </c>
      <c r="C67" s="137">
        <v>2520420300</v>
      </c>
      <c r="D67" s="138">
        <v>240</v>
      </c>
      <c r="E67" s="139" t="s">
        <v>216</v>
      </c>
      <c r="F67" s="21">
        <v>82.5</v>
      </c>
      <c r="G67" s="21">
        <v>73.900000000000006</v>
      </c>
    </row>
    <row r="68" spans="1:7" ht="31.5">
      <c r="A68" s="151" t="s">
        <v>19</v>
      </c>
      <c r="B68" s="151" t="s">
        <v>58</v>
      </c>
      <c r="C68" s="150">
        <v>2520500000</v>
      </c>
      <c r="D68" s="151"/>
      <c r="E68" s="152" t="s">
        <v>341</v>
      </c>
      <c r="F68" s="21">
        <f>F69</f>
        <v>173.8</v>
      </c>
      <c r="G68" s="21">
        <f t="shared" ref="G68:G72" si="15">G69</f>
        <v>135.70000000000002</v>
      </c>
    </row>
    <row r="69" spans="1:7">
      <c r="A69" s="151" t="s">
        <v>19</v>
      </c>
      <c r="B69" s="151" t="s">
        <v>58</v>
      </c>
      <c r="C69" s="150">
        <v>2520520300</v>
      </c>
      <c r="D69" s="151"/>
      <c r="E69" s="152" t="s">
        <v>342</v>
      </c>
      <c r="F69" s="21">
        <f>F72+F70</f>
        <v>173.8</v>
      </c>
      <c r="G69" s="21">
        <f t="shared" ref="G69" si="16">G72+G70</f>
        <v>135.70000000000002</v>
      </c>
    </row>
    <row r="70" spans="1:7" ht="63">
      <c r="A70" s="209" t="s">
        <v>19</v>
      </c>
      <c r="B70" s="209" t="s">
        <v>58</v>
      </c>
      <c r="C70" s="208">
        <v>2520520300</v>
      </c>
      <c r="D70" s="209" t="s">
        <v>66</v>
      </c>
      <c r="E70" s="210" t="s">
        <v>1</v>
      </c>
      <c r="F70" s="21">
        <f>F71</f>
        <v>6.4</v>
      </c>
      <c r="G70" s="21">
        <f t="shared" ref="G70" si="17">G71</f>
        <v>6.4</v>
      </c>
    </row>
    <row r="71" spans="1:7">
      <c r="A71" s="209" t="s">
        <v>19</v>
      </c>
      <c r="B71" s="209" t="s">
        <v>58</v>
      </c>
      <c r="C71" s="208">
        <v>2520520300</v>
      </c>
      <c r="D71" s="209">
        <v>110</v>
      </c>
      <c r="E71" s="47" t="s">
        <v>153</v>
      </c>
      <c r="F71" s="21">
        <v>6.4</v>
      </c>
      <c r="G71" s="21">
        <v>6.4</v>
      </c>
    </row>
    <row r="72" spans="1:7" ht="31.5">
      <c r="A72" s="151" t="s">
        <v>19</v>
      </c>
      <c r="B72" s="151" t="s">
        <v>58</v>
      </c>
      <c r="C72" s="150">
        <v>2520520300</v>
      </c>
      <c r="D72" s="150" t="s">
        <v>67</v>
      </c>
      <c r="E72" s="152" t="s">
        <v>90</v>
      </c>
      <c r="F72" s="21">
        <f>F73</f>
        <v>167.4</v>
      </c>
      <c r="G72" s="21">
        <f t="shared" si="15"/>
        <v>129.30000000000001</v>
      </c>
    </row>
    <row r="73" spans="1:7" ht="31.5">
      <c r="A73" s="151" t="s">
        <v>19</v>
      </c>
      <c r="B73" s="151" t="s">
        <v>58</v>
      </c>
      <c r="C73" s="150">
        <v>2520520300</v>
      </c>
      <c r="D73" s="151">
        <v>240</v>
      </c>
      <c r="E73" s="152" t="s">
        <v>216</v>
      </c>
      <c r="F73" s="21">
        <f>173.8-6.4</f>
        <v>167.4</v>
      </c>
      <c r="G73" s="21">
        <v>129.30000000000001</v>
      </c>
    </row>
    <row r="74" spans="1:7" ht="31.5">
      <c r="A74" s="151" t="s">
        <v>19</v>
      </c>
      <c r="B74" s="151" t="s">
        <v>58</v>
      </c>
      <c r="C74" s="150">
        <v>2520600000</v>
      </c>
      <c r="D74" s="151"/>
      <c r="E74" s="152" t="s">
        <v>340</v>
      </c>
      <c r="F74" s="21">
        <f>F75</f>
        <v>1110</v>
      </c>
      <c r="G74" s="21">
        <f t="shared" ref="G74:G76" si="18">G75</f>
        <v>964.7</v>
      </c>
    </row>
    <row r="75" spans="1:7">
      <c r="A75" s="151" t="s">
        <v>19</v>
      </c>
      <c r="B75" s="151" t="s">
        <v>58</v>
      </c>
      <c r="C75" s="150">
        <v>2520620200</v>
      </c>
      <c r="D75" s="151"/>
      <c r="E75" s="152" t="s">
        <v>275</v>
      </c>
      <c r="F75" s="21">
        <f>F76</f>
        <v>1110</v>
      </c>
      <c r="G75" s="21">
        <f t="shared" si="18"/>
        <v>964.7</v>
      </c>
    </row>
    <row r="76" spans="1:7" ht="31.5">
      <c r="A76" s="151" t="s">
        <v>19</v>
      </c>
      <c r="B76" s="151" t="s">
        <v>58</v>
      </c>
      <c r="C76" s="150">
        <v>2520620200</v>
      </c>
      <c r="D76" s="150" t="s">
        <v>67</v>
      </c>
      <c r="E76" s="152" t="s">
        <v>90</v>
      </c>
      <c r="F76" s="21">
        <f>F77</f>
        <v>1110</v>
      </c>
      <c r="G76" s="21">
        <f t="shared" si="18"/>
        <v>964.7</v>
      </c>
    </row>
    <row r="77" spans="1:7" ht="31.5">
      <c r="A77" s="151" t="s">
        <v>19</v>
      </c>
      <c r="B77" s="151" t="s">
        <v>58</v>
      </c>
      <c r="C77" s="150">
        <v>2520620200</v>
      </c>
      <c r="D77" s="151">
        <v>240</v>
      </c>
      <c r="E77" s="152" t="s">
        <v>216</v>
      </c>
      <c r="F77" s="21">
        <v>1110</v>
      </c>
      <c r="G77" s="21">
        <v>964.7</v>
      </c>
    </row>
    <row r="78" spans="1:7" ht="47.25">
      <c r="A78" s="98" t="s">
        <v>19</v>
      </c>
      <c r="B78" s="98" t="s">
        <v>58</v>
      </c>
      <c r="C78" s="100">
        <v>2600000000</v>
      </c>
      <c r="D78" s="100"/>
      <c r="E78" s="99" t="s">
        <v>316</v>
      </c>
      <c r="F78" s="21">
        <f>F91+F79</f>
        <v>3472.4</v>
      </c>
      <c r="G78" s="21">
        <f>G91+G79</f>
        <v>3066.9</v>
      </c>
    </row>
    <row r="79" spans="1:7" ht="47.25">
      <c r="A79" s="98" t="s">
        <v>19</v>
      </c>
      <c r="B79" s="98" t="s">
        <v>58</v>
      </c>
      <c r="C79" s="100">
        <v>2620000000</v>
      </c>
      <c r="D79" s="98"/>
      <c r="E79" s="99" t="s">
        <v>197</v>
      </c>
      <c r="F79" s="21">
        <f>F80+F87</f>
        <v>3445.9</v>
      </c>
      <c r="G79" s="21">
        <f>G80+G87</f>
        <v>3040.4</v>
      </c>
    </row>
    <row r="80" spans="1:7" ht="47.25">
      <c r="A80" s="98" t="s">
        <v>19</v>
      </c>
      <c r="B80" s="100" t="s">
        <v>58</v>
      </c>
      <c r="C80" s="98">
        <v>2620100000</v>
      </c>
      <c r="D80" s="98"/>
      <c r="E80" s="99" t="s">
        <v>198</v>
      </c>
      <c r="F80" s="21">
        <f>F81+F84</f>
        <v>3235.4</v>
      </c>
      <c r="G80" s="21">
        <f>G81+G84</f>
        <v>2871.4</v>
      </c>
    </row>
    <row r="81" spans="1:7" ht="47.25">
      <c r="A81" s="98" t="s">
        <v>19</v>
      </c>
      <c r="B81" s="98" t="s">
        <v>58</v>
      </c>
      <c r="C81" s="98">
        <v>2620120180</v>
      </c>
      <c r="D81" s="98"/>
      <c r="E81" s="99" t="s">
        <v>199</v>
      </c>
      <c r="F81" s="21">
        <f t="shared" ref="F81:G82" si="19">F82</f>
        <v>1990.9</v>
      </c>
      <c r="G81" s="21">
        <f t="shared" si="19"/>
        <v>1627.7</v>
      </c>
    </row>
    <row r="82" spans="1:7" ht="31.5">
      <c r="A82" s="98" t="s">
        <v>19</v>
      </c>
      <c r="B82" s="100" t="s">
        <v>58</v>
      </c>
      <c r="C82" s="98">
        <v>2620120180</v>
      </c>
      <c r="D82" s="98" t="s">
        <v>67</v>
      </c>
      <c r="E82" s="99" t="s">
        <v>90</v>
      </c>
      <c r="F82" s="21">
        <f t="shared" si="19"/>
        <v>1990.9</v>
      </c>
      <c r="G82" s="21">
        <f t="shared" si="19"/>
        <v>1627.7</v>
      </c>
    </row>
    <row r="83" spans="1:7" ht="31.5">
      <c r="A83" s="98" t="s">
        <v>19</v>
      </c>
      <c r="B83" s="100" t="s">
        <v>58</v>
      </c>
      <c r="C83" s="98">
        <v>2620120180</v>
      </c>
      <c r="D83" s="98">
        <v>240</v>
      </c>
      <c r="E83" s="99" t="s">
        <v>216</v>
      </c>
      <c r="F83" s="21">
        <f>1960.9+30</f>
        <v>1990.9</v>
      </c>
      <c r="G83" s="21">
        <v>1627.7</v>
      </c>
    </row>
    <row r="84" spans="1:7" ht="47.25">
      <c r="A84" s="98" t="s">
        <v>19</v>
      </c>
      <c r="B84" s="98" t="s">
        <v>58</v>
      </c>
      <c r="C84" s="98">
        <v>2620120520</v>
      </c>
      <c r="D84" s="98"/>
      <c r="E84" s="99" t="s">
        <v>204</v>
      </c>
      <c r="F84" s="21">
        <f t="shared" ref="F84:G85" si="20">F85</f>
        <v>1244.5</v>
      </c>
      <c r="G84" s="21">
        <f t="shared" si="20"/>
        <v>1243.7</v>
      </c>
    </row>
    <row r="85" spans="1:7" ht="31.5">
      <c r="A85" s="98" t="s">
        <v>19</v>
      </c>
      <c r="B85" s="100" t="s">
        <v>58</v>
      </c>
      <c r="C85" s="123">
        <v>2620120520</v>
      </c>
      <c r="D85" s="98" t="s">
        <v>67</v>
      </c>
      <c r="E85" s="99" t="s">
        <v>90</v>
      </c>
      <c r="F85" s="21">
        <f t="shared" si="20"/>
        <v>1244.5</v>
      </c>
      <c r="G85" s="21">
        <f t="shared" si="20"/>
        <v>1243.7</v>
      </c>
    </row>
    <row r="86" spans="1:7" ht="31.5">
      <c r="A86" s="98" t="s">
        <v>19</v>
      </c>
      <c r="B86" s="122" t="s">
        <v>58</v>
      </c>
      <c r="C86" s="123">
        <v>2620120520</v>
      </c>
      <c r="D86" s="98">
        <v>240</v>
      </c>
      <c r="E86" s="99" t="s">
        <v>216</v>
      </c>
      <c r="F86" s="21">
        <f>910.1+334.4</f>
        <v>1244.5</v>
      </c>
      <c r="G86" s="21">
        <v>1243.7</v>
      </c>
    </row>
    <row r="87" spans="1:7" ht="47.25">
      <c r="A87" s="98" t="s">
        <v>19</v>
      </c>
      <c r="B87" s="98" t="s">
        <v>58</v>
      </c>
      <c r="C87" s="98">
        <v>2620200000</v>
      </c>
      <c r="D87" s="98"/>
      <c r="E87" s="99" t="s">
        <v>200</v>
      </c>
      <c r="F87" s="21">
        <f t="shared" ref="F87:G89" si="21">F88</f>
        <v>210.5</v>
      </c>
      <c r="G87" s="21">
        <f t="shared" si="21"/>
        <v>169</v>
      </c>
    </row>
    <row r="88" spans="1:7" ht="17.25" customHeight="1">
      <c r="A88" s="98" t="s">
        <v>19</v>
      </c>
      <c r="B88" s="100" t="s">
        <v>58</v>
      </c>
      <c r="C88" s="98">
        <v>2620220530</v>
      </c>
      <c r="D88" s="98"/>
      <c r="E88" s="99" t="s">
        <v>201</v>
      </c>
      <c r="F88" s="21">
        <f t="shared" si="21"/>
        <v>210.5</v>
      </c>
      <c r="G88" s="21">
        <f t="shared" si="21"/>
        <v>169</v>
      </c>
    </row>
    <row r="89" spans="1:7" ht="31.5">
      <c r="A89" s="98" t="s">
        <v>19</v>
      </c>
      <c r="B89" s="100" t="s">
        <v>58</v>
      </c>
      <c r="C89" s="123">
        <v>2620220530</v>
      </c>
      <c r="D89" s="98" t="s">
        <v>67</v>
      </c>
      <c r="E89" s="99" t="s">
        <v>90</v>
      </c>
      <c r="F89" s="21">
        <f t="shared" si="21"/>
        <v>210.5</v>
      </c>
      <c r="G89" s="21">
        <f t="shared" si="21"/>
        <v>169</v>
      </c>
    </row>
    <row r="90" spans="1:7" ht="31.5">
      <c r="A90" s="98" t="s">
        <v>19</v>
      </c>
      <c r="B90" s="98" t="s">
        <v>58</v>
      </c>
      <c r="C90" s="123">
        <v>2620220530</v>
      </c>
      <c r="D90" s="98">
        <v>240</v>
      </c>
      <c r="E90" s="99" t="s">
        <v>216</v>
      </c>
      <c r="F90" s="21">
        <v>210.5</v>
      </c>
      <c r="G90" s="21">
        <v>169</v>
      </c>
    </row>
    <row r="91" spans="1:7" ht="47.25">
      <c r="A91" s="98" t="s">
        <v>19</v>
      </c>
      <c r="B91" s="98" t="s">
        <v>58</v>
      </c>
      <c r="C91" s="100">
        <v>2630000000</v>
      </c>
      <c r="D91" s="1"/>
      <c r="E91" s="47" t="s">
        <v>191</v>
      </c>
      <c r="F91" s="21">
        <f>F92</f>
        <v>26.5</v>
      </c>
      <c r="G91" s="21">
        <f>G92</f>
        <v>26.5</v>
      </c>
    </row>
    <row r="92" spans="1:7" ht="31.5">
      <c r="A92" s="98" t="s">
        <v>19</v>
      </c>
      <c r="B92" s="98" t="s">
        <v>58</v>
      </c>
      <c r="C92" s="98">
        <v>2630200000</v>
      </c>
      <c r="D92" s="1"/>
      <c r="E92" s="47" t="s">
        <v>194</v>
      </c>
      <c r="F92" s="21">
        <f>F93</f>
        <v>26.5</v>
      </c>
      <c r="G92" s="21">
        <f t="shared" ref="G92:G94" si="22">G93</f>
        <v>26.5</v>
      </c>
    </row>
    <row r="93" spans="1:7">
      <c r="A93" s="98" t="s">
        <v>19</v>
      </c>
      <c r="B93" s="98" t="s">
        <v>58</v>
      </c>
      <c r="C93" s="98">
        <v>2630220250</v>
      </c>
      <c r="D93" s="1"/>
      <c r="E93" s="47" t="s">
        <v>192</v>
      </c>
      <c r="F93" s="21">
        <f>F94</f>
        <v>26.5</v>
      </c>
      <c r="G93" s="21">
        <f t="shared" si="22"/>
        <v>26.5</v>
      </c>
    </row>
    <row r="94" spans="1:7" ht="31.5">
      <c r="A94" s="98" t="s">
        <v>19</v>
      </c>
      <c r="B94" s="98" t="s">
        <v>58</v>
      </c>
      <c r="C94" s="123">
        <v>2630220250</v>
      </c>
      <c r="D94" s="100" t="s">
        <v>67</v>
      </c>
      <c r="E94" s="99" t="s">
        <v>90</v>
      </c>
      <c r="F94" s="21">
        <f>F95</f>
        <v>26.5</v>
      </c>
      <c r="G94" s="21">
        <f t="shared" si="22"/>
        <v>26.5</v>
      </c>
    </row>
    <row r="95" spans="1:7" ht="31.5">
      <c r="A95" s="98" t="s">
        <v>19</v>
      </c>
      <c r="B95" s="98" t="s">
        <v>58</v>
      </c>
      <c r="C95" s="123">
        <v>2630220250</v>
      </c>
      <c r="D95" s="98">
        <v>240</v>
      </c>
      <c r="E95" s="99" t="s">
        <v>216</v>
      </c>
      <c r="F95" s="21">
        <v>26.5</v>
      </c>
      <c r="G95" s="21">
        <v>26.5</v>
      </c>
    </row>
    <row r="96" spans="1:7">
      <c r="A96" s="98" t="s">
        <v>19</v>
      </c>
      <c r="B96" s="98" t="s">
        <v>58</v>
      </c>
      <c r="C96" s="98">
        <v>9900000000</v>
      </c>
      <c r="D96" s="98"/>
      <c r="E96" s="99" t="s">
        <v>100</v>
      </c>
      <c r="F96" s="21">
        <f>F101+F97</f>
        <v>27339.7</v>
      </c>
      <c r="G96" s="21">
        <f t="shared" ref="G96" si="23">G101+G97</f>
        <v>26026.2</v>
      </c>
    </row>
    <row r="97" spans="1:7" ht="31.5">
      <c r="A97" s="167" t="s">
        <v>19</v>
      </c>
      <c r="B97" s="167" t="s">
        <v>58</v>
      </c>
      <c r="C97" s="167">
        <v>9930000000</v>
      </c>
      <c r="D97" s="167"/>
      <c r="E97" s="56" t="s">
        <v>150</v>
      </c>
      <c r="F97" s="21">
        <f>F98</f>
        <v>25.3</v>
      </c>
      <c r="G97" s="21">
        <f t="shared" ref="G97:G99" si="24">G98</f>
        <v>25.3</v>
      </c>
    </row>
    <row r="98" spans="1:7" ht="31.5">
      <c r="A98" s="167" t="s">
        <v>19</v>
      </c>
      <c r="B98" s="167" t="s">
        <v>58</v>
      </c>
      <c r="C98" s="167">
        <v>9930020490</v>
      </c>
      <c r="D98" s="167"/>
      <c r="E98" s="56" t="s">
        <v>363</v>
      </c>
      <c r="F98" s="21">
        <f>F99</f>
        <v>25.3</v>
      </c>
      <c r="G98" s="21">
        <f t="shared" si="24"/>
        <v>25.3</v>
      </c>
    </row>
    <row r="99" spans="1:7">
      <c r="A99" s="167" t="s">
        <v>19</v>
      </c>
      <c r="B99" s="167" t="s">
        <v>58</v>
      </c>
      <c r="C99" s="167">
        <v>9930020490</v>
      </c>
      <c r="D99" s="11" t="s">
        <v>68</v>
      </c>
      <c r="E99" s="42" t="s">
        <v>69</v>
      </c>
      <c r="F99" s="21">
        <f>F100</f>
        <v>25.3</v>
      </c>
      <c r="G99" s="21">
        <f t="shared" si="24"/>
        <v>25.3</v>
      </c>
    </row>
    <row r="100" spans="1:7">
      <c r="A100" s="167" t="s">
        <v>19</v>
      </c>
      <c r="B100" s="167" t="s">
        <v>58</v>
      </c>
      <c r="C100" s="167">
        <v>9930020490</v>
      </c>
      <c r="D100" s="1" t="s">
        <v>364</v>
      </c>
      <c r="E100" s="140" t="s">
        <v>365</v>
      </c>
      <c r="F100" s="21">
        <f>10.3+15</f>
        <v>25.3</v>
      </c>
      <c r="G100" s="21">
        <v>25.3</v>
      </c>
    </row>
    <row r="101" spans="1:7" ht="31.5">
      <c r="A101" s="98" t="s">
        <v>19</v>
      </c>
      <c r="B101" s="98" t="s">
        <v>58</v>
      </c>
      <c r="C101" s="98">
        <v>9990000000</v>
      </c>
      <c r="D101" s="98"/>
      <c r="E101" s="99" t="s">
        <v>141</v>
      </c>
      <c r="F101" s="21">
        <f>F102+F106</f>
        <v>27314.400000000001</v>
      </c>
      <c r="G101" s="21">
        <f>G102+G106</f>
        <v>26000.9</v>
      </c>
    </row>
    <row r="102" spans="1:7" ht="31.5">
      <c r="A102" s="98" t="s">
        <v>19</v>
      </c>
      <c r="B102" s="98" t="s">
        <v>58</v>
      </c>
      <c r="C102" s="98">
        <v>9990200000</v>
      </c>
      <c r="D102" s="24"/>
      <c r="E102" s="99" t="s">
        <v>112</v>
      </c>
      <c r="F102" s="21">
        <f t="shared" ref="F102:G104" si="25">F103</f>
        <v>319.5</v>
      </c>
      <c r="G102" s="21">
        <f t="shared" si="25"/>
        <v>319.5</v>
      </c>
    </row>
    <row r="103" spans="1:7" ht="66" customHeight="1">
      <c r="A103" s="98" t="s">
        <v>19</v>
      </c>
      <c r="B103" s="98" t="s">
        <v>58</v>
      </c>
      <c r="C103" s="98">
        <v>9990210540</v>
      </c>
      <c r="D103" s="98"/>
      <c r="E103" s="99" t="s">
        <v>147</v>
      </c>
      <c r="F103" s="21">
        <f t="shared" si="25"/>
        <v>319.5</v>
      </c>
      <c r="G103" s="21">
        <f t="shared" si="25"/>
        <v>319.5</v>
      </c>
    </row>
    <row r="104" spans="1:7" ht="63">
      <c r="A104" s="98" t="s">
        <v>19</v>
      </c>
      <c r="B104" s="98" t="s">
        <v>58</v>
      </c>
      <c r="C104" s="98">
        <v>9990210540</v>
      </c>
      <c r="D104" s="98" t="s">
        <v>66</v>
      </c>
      <c r="E104" s="99" t="s">
        <v>1</v>
      </c>
      <c r="F104" s="21">
        <f t="shared" si="25"/>
        <v>319.5</v>
      </c>
      <c r="G104" s="21">
        <f t="shared" si="25"/>
        <v>319.5</v>
      </c>
    </row>
    <row r="105" spans="1:7" ht="31.5">
      <c r="A105" s="98" t="s">
        <v>19</v>
      </c>
      <c r="B105" s="98" t="s">
        <v>58</v>
      </c>
      <c r="C105" s="98">
        <v>9990210540</v>
      </c>
      <c r="D105" s="98">
        <v>120</v>
      </c>
      <c r="E105" s="99" t="s">
        <v>217</v>
      </c>
      <c r="F105" s="21">
        <f>292+27.5</f>
        <v>319.5</v>
      </c>
      <c r="G105" s="21">
        <v>319.5</v>
      </c>
    </row>
    <row r="106" spans="1:7" ht="31.5">
      <c r="A106" s="98" t="s">
        <v>19</v>
      </c>
      <c r="B106" s="98" t="s">
        <v>58</v>
      </c>
      <c r="C106" s="98">
        <v>9990300000</v>
      </c>
      <c r="D106" s="98"/>
      <c r="E106" s="99" t="s">
        <v>152</v>
      </c>
      <c r="F106" s="21">
        <f>F107+F109+F111</f>
        <v>26994.9</v>
      </c>
      <c r="G106" s="21">
        <f>G107+G109+G111</f>
        <v>25681.4</v>
      </c>
    </row>
    <row r="107" spans="1:7" ht="63">
      <c r="A107" s="98" t="s">
        <v>19</v>
      </c>
      <c r="B107" s="98" t="s">
        <v>58</v>
      </c>
      <c r="C107" s="98">
        <v>9990300000</v>
      </c>
      <c r="D107" s="98" t="s">
        <v>66</v>
      </c>
      <c r="E107" s="99" t="s">
        <v>1</v>
      </c>
      <c r="F107" s="21">
        <f>F108</f>
        <v>18728.300000000003</v>
      </c>
      <c r="G107" s="21">
        <f>G108</f>
        <v>18728.3</v>
      </c>
    </row>
    <row r="108" spans="1:7">
      <c r="A108" s="98" t="s">
        <v>19</v>
      </c>
      <c r="B108" s="98" t="s">
        <v>58</v>
      </c>
      <c r="C108" s="98">
        <v>9990300000</v>
      </c>
      <c r="D108" s="98">
        <v>110</v>
      </c>
      <c r="E108" s="47" t="s">
        <v>153</v>
      </c>
      <c r="F108" s="21">
        <f>17771.7+716.7+239.9</f>
        <v>18728.300000000003</v>
      </c>
      <c r="G108" s="21">
        <v>18728.3</v>
      </c>
    </row>
    <row r="109" spans="1:7" ht="31.5">
      <c r="A109" s="98" t="s">
        <v>19</v>
      </c>
      <c r="B109" s="98" t="s">
        <v>58</v>
      </c>
      <c r="C109" s="98">
        <v>9990300000</v>
      </c>
      <c r="D109" s="98" t="s">
        <v>67</v>
      </c>
      <c r="E109" s="99" t="s">
        <v>90</v>
      </c>
      <c r="F109" s="21">
        <f>F110</f>
        <v>8238.9999999999982</v>
      </c>
      <c r="G109" s="21">
        <f>G110</f>
        <v>6928.6</v>
      </c>
    </row>
    <row r="110" spans="1:7" ht="31.5">
      <c r="A110" s="98" t="s">
        <v>19</v>
      </c>
      <c r="B110" s="98" t="s">
        <v>58</v>
      </c>
      <c r="C110" s="98">
        <v>9990300000</v>
      </c>
      <c r="D110" s="98">
        <v>240</v>
      </c>
      <c r="E110" s="99" t="s">
        <v>216</v>
      </c>
      <c r="F110" s="21">
        <f>6511.3+5470+200.8-5470+1565.1-38.2</f>
        <v>8238.9999999999982</v>
      </c>
      <c r="G110" s="21">
        <v>6928.6</v>
      </c>
    </row>
    <row r="111" spans="1:7">
      <c r="A111" s="98" t="s">
        <v>19</v>
      </c>
      <c r="B111" s="98" t="s">
        <v>58</v>
      </c>
      <c r="C111" s="98">
        <v>9990300000</v>
      </c>
      <c r="D111" s="98" t="s">
        <v>68</v>
      </c>
      <c r="E111" s="99" t="s">
        <v>69</v>
      </c>
      <c r="F111" s="21">
        <f>F112</f>
        <v>27.6</v>
      </c>
      <c r="G111" s="21">
        <f>G112</f>
        <v>24.5</v>
      </c>
    </row>
    <row r="112" spans="1:7">
      <c r="A112" s="98" t="s">
        <v>19</v>
      </c>
      <c r="B112" s="98" t="s">
        <v>58</v>
      </c>
      <c r="C112" s="98">
        <v>9990300000</v>
      </c>
      <c r="D112" s="98">
        <v>850</v>
      </c>
      <c r="E112" s="99" t="s">
        <v>95</v>
      </c>
      <c r="F112" s="21">
        <v>27.6</v>
      </c>
      <c r="G112" s="21">
        <v>24.5</v>
      </c>
    </row>
    <row r="113" spans="1:7">
      <c r="A113" s="98" t="s">
        <v>19</v>
      </c>
      <c r="B113" s="98" t="s">
        <v>54</v>
      </c>
      <c r="C113" s="98" t="s">
        <v>64</v>
      </c>
      <c r="D113" s="98" t="s">
        <v>64</v>
      </c>
      <c r="E113" s="42" t="s">
        <v>24</v>
      </c>
      <c r="F113" s="21">
        <f>F114+F121</f>
        <v>10710.9</v>
      </c>
      <c r="G113" s="21">
        <f>G114+G121</f>
        <v>10709.6</v>
      </c>
    </row>
    <row r="114" spans="1:7">
      <c r="A114" s="98" t="s">
        <v>19</v>
      </c>
      <c r="B114" s="98" t="s">
        <v>73</v>
      </c>
      <c r="C114" s="98" t="s">
        <v>64</v>
      </c>
      <c r="D114" s="98" t="s">
        <v>64</v>
      </c>
      <c r="E114" s="99" t="s">
        <v>74</v>
      </c>
      <c r="F114" s="21">
        <f t="shared" ref="F114:F119" si="26">F115</f>
        <v>1462.2</v>
      </c>
      <c r="G114" s="21">
        <f t="shared" ref="G114:G118" si="27">G115</f>
        <v>1462.2</v>
      </c>
    </row>
    <row r="115" spans="1:7">
      <c r="A115" s="98" t="s">
        <v>19</v>
      </c>
      <c r="B115" s="98" t="s">
        <v>73</v>
      </c>
      <c r="C115" s="98">
        <v>9900000000</v>
      </c>
      <c r="D115" s="98"/>
      <c r="E115" s="99" t="s">
        <v>100</v>
      </c>
      <c r="F115" s="21">
        <f t="shared" si="26"/>
        <v>1462.2</v>
      </c>
      <c r="G115" s="21">
        <f t="shared" si="27"/>
        <v>1462.2</v>
      </c>
    </row>
    <row r="116" spans="1:7" ht="31.5">
      <c r="A116" s="98" t="s">
        <v>19</v>
      </c>
      <c r="B116" s="98" t="s">
        <v>73</v>
      </c>
      <c r="C116" s="98">
        <v>9990000000</v>
      </c>
      <c r="D116" s="98"/>
      <c r="E116" s="99" t="s">
        <v>141</v>
      </c>
      <c r="F116" s="21">
        <f t="shared" si="26"/>
        <v>1462.2</v>
      </c>
      <c r="G116" s="21">
        <f t="shared" si="27"/>
        <v>1462.2</v>
      </c>
    </row>
    <row r="117" spans="1:7" ht="31.5">
      <c r="A117" s="98" t="s">
        <v>19</v>
      </c>
      <c r="B117" s="98" t="s">
        <v>73</v>
      </c>
      <c r="C117" s="98">
        <v>9990200000</v>
      </c>
      <c r="D117" s="24"/>
      <c r="E117" s="99" t="s">
        <v>112</v>
      </c>
      <c r="F117" s="21">
        <f t="shared" si="26"/>
        <v>1462.2</v>
      </c>
      <c r="G117" s="21">
        <f t="shared" si="27"/>
        <v>1462.2</v>
      </c>
    </row>
    <row r="118" spans="1:7" ht="31.5">
      <c r="A118" s="98" t="s">
        <v>19</v>
      </c>
      <c r="B118" s="98" t="s">
        <v>73</v>
      </c>
      <c r="C118" s="98">
        <v>9990259302</v>
      </c>
      <c r="D118" s="98"/>
      <c r="E118" s="99" t="s">
        <v>154</v>
      </c>
      <c r="F118" s="21">
        <f t="shared" si="26"/>
        <v>1462.2</v>
      </c>
      <c r="G118" s="21">
        <f t="shared" si="27"/>
        <v>1462.2</v>
      </c>
    </row>
    <row r="119" spans="1:7" ht="63">
      <c r="A119" s="98" t="s">
        <v>19</v>
      </c>
      <c r="B119" s="98" t="s">
        <v>73</v>
      </c>
      <c r="C119" s="98">
        <v>9990259302</v>
      </c>
      <c r="D119" s="98" t="s">
        <v>66</v>
      </c>
      <c r="E119" s="99" t="s">
        <v>1</v>
      </c>
      <c r="F119" s="21">
        <f t="shared" si="26"/>
        <v>1462.2</v>
      </c>
      <c r="G119" s="21">
        <f>G120</f>
        <v>1462.2</v>
      </c>
    </row>
    <row r="120" spans="1:7" ht="31.5">
      <c r="A120" s="98" t="s">
        <v>19</v>
      </c>
      <c r="B120" s="98" t="s">
        <v>73</v>
      </c>
      <c r="C120" s="98">
        <v>9990259302</v>
      </c>
      <c r="D120" s="98">
        <v>120</v>
      </c>
      <c r="E120" s="99" t="s">
        <v>217</v>
      </c>
      <c r="F120" s="21">
        <f>1392.7+69.5</f>
        <v>1462.2</v>
      </c>
      <c r="G120" s="21">
        <v>1462.2</v>
      </c>
    </row>
    <row r="121" spans="1:7" ht="31.5">
      <c r="A121" s="98" t="s">
        <v>19</v>
      </c>
      <c r="B121" s="22" t="s">
        <v>271</v>
      </c>
      <c r="C121" s="98"/>
      <c r="D121" s="98"/>
      <c r="E121" s="101" t="s">
        <v>272</v>
      </c>
      <c r="F121" s="21">
        <f t="shared" ref="F121:G126" si="28">F122</f>
        <v>9248.6999999999989</v>
      </c>
      <c r="G121" s="21">
        <f t="shared" si="28"/>
        <v>9247.4</v>
      </c>
    </row>
    <row r="122" spans="1:7" ht="31.5">
      <c r="A122" s="98" t="s">
        <v>19</v>
      </c>
      <c r="B122" s="22" t="s">
        <v>271</v>
      </c>
      <c r="C122" s="100">
        <v>2500000000</v>
      </c>
      <c r="D122" s="98"/>
      <c r="E122" s="99" t="s">
        <v>312</v>
      </c>
      <c r="F122" s="21">
        <f>F123+F132</f>
        <v>9248.6999999999989</v>
      </c>
      <c r="G122" s="21">
        <f>G123+G132</f>
        <v>9247.4</v>
      </c>
    </row>
    <row r="123" spans="1:7">
      <c r="A123" s="98" t="s">
        <v>19</v>
      </c>
      <c r="B123" s="22" t="s">
        <v>271</v>
      </c>
      <c r="C123" s="98">
        <v>2510000000</v>
      </c>
      <c r="D123" s="98"/>
      <c r="E123" s="99" t="s">
        <v>146</v>
      </c>
      <c r="F123" s="21">
        <f>F124+F128</f>
        <v>9025.5999999999985</v>
      </c>
      <c r="G123" s="21">
        <f t="shared" ref="G123" si="29">G124+G128</f>
        <v>9025.6</v>
      </c>
    </row>
    <row r="124" spans="1:7" ht="47.25">
      <c r="A124" s="98" t="s">
        <v>19</v>
      </c>
      <c r="B124" s="22" t="s">
        <v>271</v>
      </c>
      <c r="C124" s="98">
        <v>2510100000</v>
      </c>
      <c r="D124" s="98"/>
      <c r="E124" s="99" t="s">
        <v>170</v>
      </c>
      <c r="F124" s="21">
        <f>F125</f>
        <v>8975.5999999999985</v>
      </c>
      <c r="G124" s="21">
        <f t="shared" ref="G124" si="30">G125</f>
        <v>8975.6</v>
      </c>
    </row>
    <row r="125" spans="1:7" ht="31.5">
      <c r="A125" s="98" t="s">
        <v>19</v>
      </c>
      <c r="B125" s="22" t="s">
        <v>271</v>
      </c>
      <c r="C125" s="98">
        <v>2510120010</v>
      </c>
      <c r="D125" s="98"/>
      <c r="E125" s="99" t="s">
        <v>118</v>
      </c>
      <c r="F125" s="21">
        <f t="shared" si="28"/>
        <v>8975.5999999999985</v>
      </c>
      <c r="G125" s="21">
        <f t="shared" si="28"/>
        <v>8975.6</v>
      </c>
    </row>
    <row r="126" spans="1:7" ht="31.5">
      <c r="A126" s="98" t="s">
        <v>19</v>
      </c>
      <c r="B126" s="22" t="s">
        <v>271</v>
      </c>
      <c r="C126" s="98">
        <v>2510120010</v>
      </c>
      <c r="D126" s="98">
        <v>600</v>
      </c>
      <c r="E126" s="99" t="s">
        <v>81</v>
      </c>
      <c r="F126" s="21">
        <f t="shared" si="28"/>
        <v>8975.5999999999985</v>
      </c>
      <c r="G126" s="21">
        <f t="shared" si="28"/>
        <v>8975.6</v>
      </c>
    </row>
    <row r="127" spans="1:7">
      <c r="A127" s="98" t="s">
        <v>19</v>
      </c>
      <c r="B127" s="22" t="s">
        <v>271</v>
      </c>
      <c r="C127" s="98">
        <v>2510120010</v>
      </c>
      <c r="D127" s="98">
        <v>610</v>
      </c>
      <c r="E127" s="99" t="s">
        <v>99</v>
      </c>
      <c r="F127" s="21">
        <f>8584.4+1.4+289.5+100.3</f>
        <v>8975.5999999999985</v>
      </c>
      <c r="G127" s="21">
        <v>8975.6</v>
      </c>
    </row>
    <row r="128" spans="1:7" ht="31.5">
      <c r="A128" s="206" t="s">
        <v>19</v>
      </c>
      <c r="B128" s="22" t="s">
        <v>271</v>
      </c>
      <c r="C128" s="202">
        <v>2510400000</v>
      </c>
      <c r="D128" s="202"/>
      <c r="E128" s="203" t="s">
        <v>392</v>
      </c>
      <c r="F128" s="21">
        <f>F129</f>
        <v>50</v>
      </c>
      <c r="G128" s="21">
        <f t="shared" ref="G128:G130" si="31">G129</f>
        <v>50</v>
      </c>
    </row>
    <row r="129" spans="1:7">
      <c r="A129" s="206" t="s">
        <v>19</v>
      </c>
      <c r="B129" s="22" t="s">
        <v>271</v>
      </c>
      <c r="C129" s="202">
        <v>2510420300</v>
      </c>
      <c r="D129" s="202"/>
      <c r="E129" s="203" t="s">
        <v>393</v>
      </c>
      <c r="F129" s="21">
        <f>F130</f>
        <v>50</v>
      </c>
      <c r="G129" s="21">
        <f t="shared" si="31"/>
        <v>50</v>
      </c>
    </row>
    <row r="130" spans="1:7" ht="31.5">
      <c r="A130" s="206" t="s">
        <v>19</v>
      </c>
      <c r="B130" s="22" t="s">
        <v>271</v>
      </c>
      <c r="C130" s="202">
        <v>2510420300</v>
      </c>
      <c r="D130" s="201" t="s">
        <v>67</v>
      </c>
      <c r="E130" s="203" t="s">
        <v>90</v>
      </c>
      <c r="F130" s="21">
        <f>F131</f>
        <v>50</v>
      </c>
      <c r="G130" s="21">
        <f t="shared" si="31"/>
        <v>50</v>
      </c>
    </row>
    <row r="131" spans="1:7" ht="31.5">
      <c r="A131" s="206" t="s">
        <v>19</v>
      </c>
      <c r="B131" s="22" t="s">
        <v>271</v>
      </c>
      <c r="C131" s="202">
        <v>2510420300</v>
      </c>
      <c r="D131" s="202">
        <v>240</v>
      </c>
      <c r="E131" s="203" t="s">
        <v>216</v>
      </c>
      <c r="F131" s="21">
        <v>50</v>
      </c>
      <c r="G131" s="21">
        <v>50</v>
      </c>
    </row>
    <row r="132" spans="1:7" ht="31.5">
      <c r="A132" s="151" t="s">
        <v>19</v>
      </c>
      <c r="B132" s="22" t="s">
        <v>271</v>
      </c>
      <c r="C132" s="150">
        <v>2520000000</v>
      </c>
      <c r="D132" s="151"/>
      <c r="E132" s="56" t="s">
        <v>227</v>
      </c>
      <c r="F132" s="21">
        <f>F133</f>
        <v>223.1</v>
      </c>
      <c r="G132" s="21">
        <f t="shared" ref="G132" si="32">G133</f>
        <v>221.8</v>
      </c>
    </row>
    <row r="133" spans="1:7" ht="31.5">
      <c r="A133" s="151" t="s">
        <v>19</v>
      </c>
      <c r="B133" s="22" t="s">
        <v>271</v>
      </c>
      <c r="C133" s="150">
        <v>2520500000</v>
      </c>
      <c r="D133" s="151"/>
      <c r="E133" s="152" t="s">
        <v>341</v>
      </c>
      <c r="F133" s="21">
        <f>F134</f>
        <v>223.1</v>
      </c>
      <c r="G133" s="21">
        <f t="shared" ref="G133:G135" si="33">G134</f>
        <v>221.8</v>
      </c>
    </row>
    <row r="134" spans="1:7">
      <c r="A134" s="151" t="s">
        <v>19</v>
      </c>
      <c r="B134" s="22" t="s">
        <v>271</v>
      </c>
      <c r="C134" s="150">
        <v>2520520300</v>
      </c>
      <c r="D134" s="151"/>
      <c r="E134" s="152" t="s">
        <v>342</v>
      </c>
      <c r="F134" s="21">
        <f>F135</f>
        <v>223.1</v>
      </c>
      <c r="G134" s="21">
        <f t="shared" si="33"/>
        <v>221.8</v>
      </c>
    </row>
    <row r="135" spans="1:7" ht="31.5">
      <c r="A135" s="151" t="s">
        <v>19</v>
      </c>
      <c r="B135" s="22" t="s">
        <v>271</v>
      </c>
      <c r="C135" s="150">
        <v>2520520300</v>
      </c>
      <c r="D135" s="151">
        <v>600</v>
      </c>
      <c r="E135" s="152" t="s">
        <v>81</v>
      </c>
      <c r="F135" s="21">
        <f>F136</f>
        <v>223.1</v>
      </c>
      <c r="G135" s="21">
        <f t="shared" si="33"/>
        <v>221.8</v>
      </c>
    </row>
    <row r="136" spans="1:7">
      <c r="A136" s="151" t="s">
        <v>19</v>
      </c>
      <c r="B136" s="22" t="s">
        <v>271</v>
      </c>
      <c r="C136" s="150">
        <v>2520520300</v>
      </c>
      <c r="D136" s="151">
        <v>610</v>
      </c>
      <c r="E136" s="152" t="s">
        <v>99</v>
      </c>
      <c r="F136" s="21">
        <f>223.1</f>
        <v>223.1</v>
      </c>
      <c r="G136" s="21">
        <v>221.8</v>
      </c>
    </row>
    <row r="137" spans="1:7">
      <c r="A137" s="98" t="s">
        <v>19</v>
      </c>
      <c r="B137" s="98" t="s">
        <v>55</v>
      </c>
      <c r="C137" s="98" t="s">
        <v>64</v>
      </c>
      <c r="D137" s="98" t="s">
        <v>64</v>
      </c>
      <c r="E137" s="42" t="s">
        <v>25</v>
      </c>
      <c r="F137" s="21">
        <f>F138+F181</f>
        <v>119490.09999999999</v>
      </c>
      <c r="G137" s="21">
        <f t="shared" ref="G137" si="34">G138+G181</f>
        <v>114535.4</v>
      </c>
    </row>
    <row r="138" spans="1:7">
      <c r="A138" s="98" t="s">
        <v>19</v>
      </c>
      <c r="B138" s="98" t="s">
        <v>6</v>
      </c>
      <c r="C138" s="98" t="s">
        <v>64</v>
      </c>
      <c r="D138" s="98" t="s">
        <v>64</v>
      </c>
      <c r="E138" s="99" t="s">
        <v>85</v>
      </c>
      <c r="F138" s="21">
        <f>F139</f>
        <v>119460.4</v>
      </c>
      <c r="G138" s="21">
        <f t="shared" ref="G138" si="35">G139</f>
        <v>114505.7</v>
      </c>
    </row>
    <row r="139" spans="1:7" ht="47.25">
      <c r="A139" s="98" t="s">
        <v>19</v>
      </c>
      <c r="B139" s="98" t="s">
        <v>6</v>
      </c>
      <c r="C139" s="100">
        <v>2400000000</v>
      </c>
      <c r="D139" s="98"/>
      <c r="E139" s="99" t="s">
        <v>314</v>
      </c>
      <c r="F139" s="21">
        <f>F140+F165</f>
        <v>119460.4</v>
      </c>
      <c r="G139" s="21">
        <f>G140+G165</f>
        <v>114505.7</v>
      </c>
    </row>
    <row r="140" spans="1:7">
      <c r="A140" s="98" t="s">
        <v>19</v>
      </c>
      <c r="B140" s="98" t="s">
        <v>6</v>
      </c>
      <c r="C140" s="100">
        <v>2410000000</v>
      </c>
      <c r="D140" s="98"/>
      <c r="E140" s="99" t="s">
        <v>119</v>
      </c>
      <c r="F140" s="21">
        <f>F141+F145+F155</f>
        <v>115492.9</v>
      </c>
      <c r="G140" s="21">
        <f>G141+G145+G155</f>
        <v>110976.59999999999</v>
      </c>
    </row>
    <row r="141" spans="1:7">
      <c r="A141" s="98" t="s">
        <v>19</v>
      </c>
      <c r="B141" s="98" t="s">
        <v>6</v>
      </c>
      <c r="C141" s="100">
        <v>2410100000</v>
      </c>
      <c r="D141" s="24"/>
      <c r="E141" s="99" t="s">
        <v>171</v>
      </c>
      <c r="F141" s="21">
        <f>F142</f>
        <v>54300.899999999994</v>
      </c>
      <c r="G141" s="21">
        <f t="shared" ref="G141:G143" si="36">G142</f>
        <v>54250.5</v>
      </c>
    </row>
    <row r="142" spans="1:7" ht="31.5">
      <c r="A142" s="98" t="s">
        <v>19</v>
      </c>
      <c r="B142" s="98" t="s">
        <v>6</v>
      </c>
      <c r="C142" s="98">
        <v>2410120100</v>
      </c>
      <c r="D142" s="98"/>
      <c r="E142" s="99" t="s">
        <v>120</v>
      </c>
      <c r="F142" s="21">
        <f>F143</f>
        <v>54300.899999999994</v>
      </c>
      <c r="G142" s="21">
        <f t="shared" si="36"/>
        <v>54250.5</v>
      </c>
    </row>
    <row r="143" spans="1:7" ht="31.5">
      <c r="A143" s="98" t="s">
        <v>19</v>
      </c>
      <c r="B143" s="98" t="s">
        <v>6</v>
      </c>
      <c r="C143" s="98">
        <v>2410120100</v>
      </c>
      <c r="D143" s="100" t="s">
        <v>67</v>
      </c>
      <c r="E143" s="99" t="s">
        <v>90</v>
      </c>
      <c r="F143" s="21">
        <f>F144</f>
        <v>54300.899999999994</v>
      </c>
      <c r="G143" s="21">
        <f t="shared" si="36"/>
        <v>54250.5</v>
      </c>
    </row>
    <row r="144" spans="1:7" ht="31.5">
      <c r="A144" s="98" t="s">
        <v>19</v>
      </c>
      <c r="B144" s="98" t="s">
        <v>6</v>
      </c>
      <c r="C144" s="98">
        <v>2410120100</v>
      </c>
      <c r="D144" s="98">
        <v>240</v>
      </c>
      <c r="E144" s="99" t="s">
        <v>216</v>
      </c>
      <c r="F144" s="21">
        <f>27383.1+24793.1-3420+5544.7</f>
        <v>54300.899999999994</v>
      </c>
      <c r="G144" s="21">
        <v>54250.5</v>
      </c>
    </row>
    <row r="145" spans="1:7" ht="47.25">
      <c r="A145" s="98" t="s">
        <v>19</v>
      </c>
      <c r="B145" s="98" t="s">
        <v>6</v>
      </c>
      <c r="C145" s="100">
        <v>2410200000</v>
      </c>
      <c r="D145" s="98"/>
      <c r="E145" s="99" t="s">
        <v>172</v>
      </c>
      <c r="F145" s="21">
        <f>F146+F152+F149</f>
        <v>45519.199999999997</v>
      </c>
      <c r="G145" s="21">
        <f t="shared" ref="G145" si="37">G146+G152+G149</f>
        <v>42930.400000000001</v>
      </c>
    </row>
    <row r="146" spans="1:7" ht="31.5">
      <c r="A146" s="98" t="s">
        <v>19</v>
      </c>
      <c r="B146" s="98" t="s">
        <v>6</v>
      </c>
      <c r="C146" s="98">
        <v>2410211050</v>
      </c>
      <c r="D146" s="98"/>
      <c r="E146" s="99" t="s">
        <v>232</v>
      </c>
      <c r="F146" s="21">
        <f t="shared" ref="F146:G147" si="38">F147</f>
        <v>35262.1</v>
      </c>
      <c r="G146" s="21">
        <f t="shared" si="38"/>
        <v>33406.1</v>
      </c>
    </row>
    <row r="147" spans="1:7" ht="31.5">
      <c r="A147" s="98" t="s">
        <v>19</v>
      </c>
      <c r="B147" s="98" t="s">
        <v>6</v>
      </c>
      <c r="C147" s="98">
        <v>2410211050</v>
      </c>
      <c r="D147" s="100" t="s">
        <v>67</v>
      </c>
      <c r="E147" s="99" t="s">
        <v>90</v>
      </c>
      <c r="F147" s="21">
        <f t="shared" si="38"/>
        <v>35262.1</v>
      </c>
      <c r="G147" s="21">
        <f t="shared" si="38"/>
        <v>33406.1</v>
      </c>
    </row>
    <row r="148" spans="1:7" ht="31.5">
      <c r="A148" s="98" t="s">
        <v>19</v>
      </c>
      <c r="B148" s="98" t="s">
        <v>6</v>
      </c>
      <c r="C148" s="98">
        <v>2410211050</v>
      </c>
      <c r="D148" s="98">
        <v>240</v>
      </c>
      <c r="E148" s="99" t="s">
        <v>216</v>
      </c>
      <c r="F148" s="21">
        <f>51703.1-16441</f>
        <v>35262.1</v>
      </c>
      <c r="G148" s="21">
        <v>33406.1</v>
      </c>
    </row>
    <row r="149" spans="1:7">
      <c r="A149" s="167" t="s">
        <v>19</v>
      </c>
      <c r="B149" s="167" t="s">
        <v>6</v>
      </c>
      <c r="C149" s="167">
        <v>2410220110</v>
      </c>
      <c r="D149" s="167"/>
      <c r="E149" s="56" t="s">
        <v>224</v>
      </c>
      <c r="F149" s="21">
        <f>F150</f>
        <v>6339.0999999999995</v>
      </c>
      <c r="G149" s="21">
        <f t="shared" ref="G149:G150" si="39">G150</f>
        <v>5745.8</v>
      </c>
    </row>
    <row r="150" spans="1:7" ht="31.5">
      <c r="A150" s="167" t="s">
        <v>19</v>
      </c>
      <c r="B150" s="167" t="s">
        <v>6</v>
      </c>
      <c r="C150" s="167">
        <v>2410220110</v>
      </c>
      <c r="D150" s="166" t="s">
        <v>67</v>
      </c>
      <c r="E150" s="56" t="s">
        <v>90</v>
      </c>
      <c r="F150" s="21">
        <f>F151</f>
        <v>6339.0999999999995</v>
      </c>
      <c r="G150" s="21">
        <f t="shared" si="39"/>
        <v>5745.8</v>
      </c>
    </row>
    <row r="151" spans="1:7" ht="31.5">
      <c r="A151" s="167" t="s">
        <v>19</v>
      </c>
      <c r="B151" s="167" t="s">
        <v>6</v>
      </c>
      <c r="C151" s="167">
        <v>2410220110</v>
      </c>
      <c r="D151" s="167">
        <v>240</v>
      </c>
      <c r="E151" s="56" t="s">
        <v>216</v>
      </c>
      <c r="F151" s="21">
        <f>2105.1+3171.8+1062.2</f>
        <v>6339.0999999999995</v>
      </c>
      <c r="G151" s="21">
        <v>5745.8</v>
      </c>
    </row>
    <row r="152" spans="1:7" ht="31.5">
      <c r="A152" s="98" t="s">
        <v>19</v>
      </c>
      <c r="B152" s="98" t="s">
        <v>6</v>
      </c>
      <c r="C152" s="98" t="s">
        <v>289</v>
      </c>
      <c r="D152" s="98"/>
      <c r="E152" s="99" t="s">
        <v>243</v>
      </c>
      <c r="F152" s="21">
        <f t="shared" ref="F152:G153" si="40">F153</f>
        <v>3918</v>
      </c>
      <c r="G152" s="21">
        <f t="shared" si="40"/>
        <v>3778.5</v>
      </c>
    </row>
    <row r="153" spans="1:7" ht="31.5">
      <c r="A153" s="98" t="s">
        <v>19</v>
      </c>
      <c r="B153" s="98" t="s">
        <v>6</v>
      </c>
      <c r="C153" s="98" t="s">
        <v>289</v>
      </c>
      <c r="D153" s="100" t="s">
        <v>67</v>
      </c>
      <c r="E153" s="99" t="s">
        <v>90</v>
      </c>
      <c r="F153" s="21">
        <f t="shared" si="40"/>
        <v>3918</v>
      </c>
      <c r="G153" s="21">
        <f t="shared" si="40"/>
        <v>3778.5</v>
      </c>
    </row>
    <row r="154" spans="1:7" ht="31.5">
      <c r="A154" s="98" t="s">
        <v>19</v>
      </c>
      <c r="B154" s="98" t="s">
        <v>6</v>
      </c>
      <c r="C154" s="98" t="s">
        <v>289</v>
      </c>
      <c r="D154" s="98">
        <v>240</v>
      </c>
      <c r="E154" s="99" t="s">
        <v>216</v>
      </c>
      <c r="F154" s="21">
        <f>12925.8-7181.1+2826.3-4653</f>
        <v>3918</v>
      </c>
      <c r="G154" s="21">
        <v>3778.5</v>
      </c>
    </row>
    <row r="155" spans="1:7" ht="47.25">
      <c r="A155" s="98" t="s">
        <v>19</v>
      </c>
      <c r="B155" s="98" t="s">
        <v>6</v>
      </c>
      <c r="C155" s="98">
        <v>2410300000</v>
      </c>
      <c r="D155" s="98"/>
      <c r="E155" s="99" t="s">
        <v>226</v>
      </c>
      <c r="F155" s="21">
        <f>F156+F162+F159</f>
        <v>15672.800000000001</v>
      </c>
      <c r="G155" s="21">
        <f>G156+G162+G159</f>
        <v>13795.7</v>
      </c>
    </row>
    <row r="156" spans="1:7" ht="47.25">
      <c r="A156" s="98" t="s">
        <v>19</v>
      </c>
      <c r="B156" s="98" t="s">
        <v>6</v>
      </c>
      <c r="C156" s="98">
        <v>2410311020</v>
      </c>
      <c r="D156" s="98"/>
      <c r="E156" s="99" t="s">
        <v>233</v>
      </c>
      <c r="F156" s="21">
        <f t="shared" ref="F156:G157" si="41">F157</f>
        <v>10482</v>
      </c>
      <c r="G156" s="21">
        <f t="shared" si="41"/>
        <v>9359.2999999999993</v>
      </c>
    </row>
    <row r="157" spans="1:7" ht="31.5">
      <c r="A157" s="98" t="s">
        <v>19</v>
      </c>
      <c r="B157" s="98" t="s">
        <v>6</v>
      </c>
      <c r="C157" s="98">
        <v>2410311020</v>
      </c>
      <c r="D157" s="100" t="s">
        <v>67</v>
      </c>
      <c r="E157" s="99" t="s">
        <v>90</v>
      </c>
      <c r="F157" s="21">
        <f t="shared" si="41"/>
        <v>10482</v>
      </c>
      <c r="G157" s="21">
        <f t="shared" si="41"/>
        <v>9359.2999999999993</v>
      </c>
    </row>
    <row r="158" spans="1:7" ht="31.5">
      <c r="A158" s="98" t="s">
        <v>19</v>
      </c>
      <c r="B158" s="98" t="s">
        <v>6</v>
      </c>
      <c r="C158" s="98">
        <v>2410311020</v>
      </c>
      <c r="D158" s="98">
        <v>240</v>
      </c>
      <c r="E158" s="99" t="s">
        <v>216</v>
      </c>
      <c r="F158" s="21">
        <v>10482</v>
      </c>
      <c r="G158" s="21">
        <v>9359.2999999999993</v>
      </c>
    </row>
    <row r="159" spans="1:7">
      <c r="A159" s="98" t="s">
        <v>19</v>
      </c>
      <c r="B159" s="98" t="s">
        <v>6</v>
      </c>
      <c r="C159" s="98">
        <v>2410320110</v>
      </c>
      <c r="D159" s="98"/>
      <c r="E159" s="56" t="s">
        <v>224</v>
      </c>
      <c r="F159" s="21">
        <f t="shared" ref="F159:G160" si="42">F160</f>
        <v>4026.1000000000004</v>
      </c>
      <c r="G159" s="21">
        <f t="shared" si="42"/>
        <v>3396.2</v>
      </c>
    </row>
    <row r="160" spans="1:7" ht="31.5">
      <c r="A160" s="98" t="s">
        <v>19</v>
      </c>
      <c r="B160" s="98" t="s">
        <v>6</v>
      </c>
      <c r="C160" s="98">
        <v>2410320110</v>
      </c>
      <c r="D160" s="100" t="s">
        <v>67</v>
      </c>
      <c r="E160" s="56" t="s">
        <v>90</v>
      </c>
      <c r="F160" s="21">
        <f t="shared" si="42"/>
        <v>4026.1000000000004</v>
      </c>
      <c r="G160" s="21">
        <f t="shared" si="42"/>
        <v>3396.2</v>
      </c>
    </row>
    <row r="161" spans="1:7" ht="31.5">
      <c r="A161" s="98" t="s">
        <v>19</v>
      </c>
      <c r="B161" s="98" t="s">
        <v>6</v>
      </c>
      <c r="C161" s="98">
        <v>2410320110</v>
      </c>
      <c r="D161" s="98">
        <v>240</v>
      </c>
      <c r="E161" s="56" t="s">
        <v>216</v>
      </c>
      <c r="F161" s="21">
        <f>215.6+4872.7-1062.2</f>
        <v>4026.1000000000004</v>
      </c>
      <c r="G161" s="21">
        <v>3396.2</v>
      </c>
    </row>
    <row r="162" spans="1:7" ht="47.25">
      <c r="A162" s="98" t="s">
        <v>19</v>
      </c>
      <c r="B162" s="98" t="s">
        <v>6</v>
      </c>
      <c r="C162" s="98" t="s">
        <v>290</v>
      </c>
      <c r="D162" s="98"/>
      <c r="E162" s="99" t="s">
        <v>244</v>
      </c>
      <c r="F162" s="21">
        <f t="shared" ref="F162:G163" si="43">F163</f>
        <v>1164.7</v>
      </c>
      <c r="G162" s="21">
        <f t="shared" si="43"/>
        <v>1040.2</v>
      </c>
    </row>
    <row r="163" spans="1:7" ht="31.5">
      <c r="A163" s="98" t="s">
        <v>19</v>
      </c>
      <c r="B163" s="98" t="s">
        <v>6</v>
      </c>
      <c r="C163" s="98" t="s">
        <v>290</v>
      </c>
      <c r="D163" s="100" t="s">
        <v>67</v>
      </c>
      <c r="E163" s="99" t="s">
        <v>90</v>
      </c>
      <c r="F163" s="21">
        <f t="shared" si="43"/>
        <v>1164.7</v>
      </c>
      <c r="G163" s="21">
        <f t="shared" si="43"/>
        <v>1040.2</v>
      </c>
    </row>
    <row r="164" spans="1:7" ht="31.5">
      <c r="A164" s="98" t="s">
        <v>19</v>
      </c>
      <c r="B164" s="98" t="s">
        <v>6</v>
      </c>
      <c r="C164" s="98" t="s">
        <v>290</v>
      </c>
      <c r="D164" s="98">
        <v>240</v>
      </c>
      <c r="E164" s="99" t="s">
        <v>216</v>
      </c>
      <c r="F164" s="21">
        <f>2620.5-1455.8</f>
        <v>1164.7</v>
      </c>
      <c r="G164" s="21">
        <v>1040.2</v>
      </c>
    </row>
    <row r="165" spans="1:7">
      <c r="A165" s="98" t="s">
        <v>19</v>
      </c>
      <c r="B165" s="98" t="s">
        <v>6</v>
      </c>
      <c r="C165" s="100">
        <v>2420000000</v>
      </c>
      <c r="D165" s="98"/>
      <c r="E165" s="99" t="s">
        <v>121</v>
      </c>
      <c r="F165" s="21">
        <f>F166+F174+F170</f>
        <v>3967.5</v>
      </c>
      <c r="G165" s="21">
        <f>G166+G174+G170</f>
        <v>3529.1</v>
      </c>
    </row>
    <row r="166" spans="1:7" ht="31.5">
      <c r="A166" s="98" t="s">
        <v>19</v>
      </c>
      <c r="B166" s="98" t="s">
        <v>6</v>
      </c>
      <c r="C166" s="100">
        <v>2420100000</v>
      </c>
      <c r="D166" s="98"/>
      <c r="E166" s="99" t="s">
        <v>173</v>
      </c>
      <c r="F166" s="21">
        <f t="shared" ref="F166:G168" si="44">F167</f>
        <v>959</v>
      </c>
      <c r="G166" s="21">
        <f t="shared" si="44"/>
        <v>955.6</v>
      </c>
    </row>
    <row r="167" spans="1:7">
      <c r="A167" s="98" t="s">
        <v>19</v>
      </c>
      <c r="B167" s="98" t="s">
        <v>6</v>
      </c>
      <c r="C167" s="98">
        <v>2420120120</v>
      </c>
      <c r="D167" s="98"/>
      <c r="E167" s="99" t="s">
        <v>122</v>
      </c>
      <c r="F167" s="21">
        <f t="shared" si="44"/>
        <v>959</v>
      </c>
      <c r="G167" s="21">
        <f t="shared" si="44"/>
        <v>955.6</v>
      </c>
    </row>
    <row r="168" spans="1:7" ht="31.5">
      <c r="A168" s="98" t="s">
        <v>19</v>
      </c>
      <c r="B168" s="98" t="s">
        <v>6</v>
      </c>
      <c r="C168" s="98">
        <v>2420120120</v>
      </c>
      <c r="D168" s="100" t="s">
        <v>67</v>
      </c>
      <c r="E168" s="99" t="s">
        <v>90</v>
      </c>
      <c r="F168" s="21">
        <f t="shared" si="44"/>
        <v>959</v>
      </c>
      <c r="G168" s="21">
        <f t="shared" si="44"/>
        <v>955.6</v>
      </c>
    </row>
    <row r="169" spans="1:7" ht="31.5">
      <c r="A169" s="98" t="s">
        <v>19</v>
      </c>
      <c r="B169" s="98" t="s">
        <v>6</v>
      </c>
      <c r="C169" s="98">
        <v>2420120120</v>
      </c>
      <c r="D169" s="98">
        <v>240</v>
      </c>
      <c r="E169" s="99" t="s">
        <v>216</v>
      </c>
      <c r="F169" s="21">
        <f>1850.7-891.7</f>
        <v>959</v>
      </c>
      <c r="G169" s="21">
        <v>955.6</v>
      </c>
    </row>
    <row r="170" spans="1:7" ht="31.5">
      <c r="A170" s="179" t="s">
        <v>19</v>
      </c>
      <c r="B170" s="179" t="s">
        <v>6</v>
      </c>
      <c r="C170" s="178">
        <v>2420200000</v>
      </c>
      <c r="D170" s="179"/>
      <c r="E170" s="180" t="s">
        <v>375</v>
      </c>
      <c r="F170" s="21">
        <f>F171</f>
        <v>390</v>
      </c>
      <c r="G170" s="21">
        <f t="shared" ref="G170:G172" si="45">G171</f>
        <v>0</v>
      </c>
    </row>
    <row r="171" spans="1:7" ht="31.5">
      <c r="A171" s="179" t="s">
        <v>19</v>
      </c>
      <c r="B171" s="179" t="s">
        <v>6</v>
      </c>
      <c r="C171" s="178">
        <v>2420220130</v>
      </c>
      <c r="D171" s="179"/>
      <c r="E171" s="180" t="s">
        <v>376</v>
      </c>
      <c r="F171" s="21">
        <f>F172</f>
        <v>390</v>
      </c>
      <c r="G171" s="21">
        <f t="shared" si="45"/>
        <v>0</v>
      </c>
    </row>
    <row r="172" spans="1:7" ht="31.5">
      <c r="A172" s="179" t="s">
        <v>19</v>
      </c>
      <c r="B172" s="179" t="s">
        <v>6</v>
      </c>
      <c r="C172" s="178">
        <v>2420220130</v>
      </c>
      <c r="D172" s="178" t="s">
        <v>67</v>
      </c>
      <c r="E172" s="180" t="s">
        <v>90</v>
      </c>
      <c r="F172" s="21">
        <f>F173</f>
        <v>390</v>
      </c>
      <c r="G172" s="21">
        <f t="shared" si="45"/>
        <v>0</v>
      </c>
    </row>
    <row r="173" spans="1:7" ht="31.5">
      <c r="A173" s="179" t="s">
        <v>19</v>
      </c>
      <c r="B173" s="179" t="s">
        <v>6</v>
      </c>
      <c r="C173" s="178">
        <v>2420220130</v>
      </c>
      <c r="D173" s="179">
        <v>240</v>
      </c>
      <c r="E173" s="180" t="s">
        <v>216</v>
      </c>
      <c r="F173" s="21">
        <v>390</v>
      </c>
      <c r="G173" s="21">
        <v>0</v>
      </c>
    </row>
    <row r="174" spans="1:7" ht="47.25">
      <c r="A174" s="98" t="s">
        <v>19</v>
      </c>
      <c r="B174" s="98" t="s">
        <v>6</v>
      </c>
      <c r="C174" s="98" t="s">
        <v>291</v>
      </c>
      <c r="D174" s="98"/>
      <c r="E174" s="133" t="s">
        <v>334</v>
      </c>
      <c r="F174" s="21">
        <f>F175+F178</f>
        <v>2618.5</v>
      </c>
      <c r="G174" s="21">
        <f t="shared" ref="G174" si="46">G175+G178</f>
        <v>2573.5</v>
      </c>
    </row>
    <row r="175" spans="1:7" ht="63">
      <c r="A175" s="98" t="s">
        <v>19</v>
      </c>
      <c r="B175" s="98" t="s">
        <v>6</v>
      </c>
      <c r="C175" s="98" t="s">
        <v>292</v>
      </c>
      <c r="D175" s="98"/>
      <c r="E175" s="99" t="s">
        <v>234</v>
      </c>
      <c r="F175" s="21">
        <f t="shared" ref="F175:G176" si="47">F176</f>
        <v>2316.1999999999998</v>
      </c>
      <c r="G175" s="21">
        <f t="shared" si="47"/>
        <v>2316.1</v>
      </c>
    </row>
    <row r="176" spans="1:7" ht="31.5">
      <c r="A176" s="98" t="s">
        <v>19</v>
      </c>
      <c r="B176" s="98" t="s">
        <v>6</v>
      </c>
      <c r="C176" s="98" t="s">
        <v>292</v>
      </c>
      <c r="D176" s="100" t="s">
        <v>67</v>
      </c>
      <c r="E176" s="99" t="s">
        <v>90</v>
      </c>
      <c r="F176" s="21">
        <f t="shared" si="47"/>
        <v>2316.1999999999998</v>
      </c>
      <c r="G176" s="21">
        <f t="shared" si="47"/>
        <v>2316.1</v>
      </c>
    </row>
    <row r="177" spans="1:7" ht="31.5">
      <c r="A177" s="98" t="s">
        <v>19</v>
      </c>
      <c r="B177" s="98" t="s">
        <v>6</v>
      </c>
      <c r="C177" s="98" t="s">
        <v>292</v>
      </c>
      <c r="D177" s="98">
        <v>240</v>
      </c>
      <c r="E177" s="99" t="s">
        <v>216</v>
      </c>
      <c r="F177" s="21">
        <f>2720.5-404.3</f>
        <v>2316.1999999999998</v>
      </c>
      <c r="G177" s="21">
        <v>2316.1</v>
      </c>
    </row>
    <row r="178" spans="1:7" ht="47.25">
      <c r="A178" s="98" t="s">
        <v>19</v>
      </c>
      <c r="B178" s="98" t="s">
        <v>6</v>
      </c>
      <c r="C178" s="98" t="s">
        <v>293</v>
      </c>
      <c r="D178" s="98"/>
      <c r="E178" s="99" t="s">
        <v>225</v>
      </c>
      <c r="F178" s="21">
        <f t="shared" ref="F178:G179" si="48">F179</f>
        <v>302.3</v>
      </c>
      <c r="G178" s="21">
        <f t="shared" si="48"/>
        <v>257.39999999999998</v>
      </c>
    </row>
    <row r="179" spans="1:7" ht="31.5">
      <c r="A179" s="98" t="s">
        <v>19</v>
      </c>
      <c r="B179" s="98" t="s">
        <v>6</v>
      </c>
      <c r="C179" s="98" t="s">
        <v>293</v>
      </c>
      <c r="D179" s="100" t="s">
        <v>67</v>
      </c>
      <c r="E179" s="99" t="s">
        <v>90</v>
      </c>
      <c r="F179" s="21">
        <f t="shared" si="48"/>
        <v>302.3</v>
      </c>
      <c r="G179" s="21">
        <f t="shared" si="48"/>
        <v>257.39999999999998</v>
      </c>
    </row>
    <row r="180" spans="1:7" ht="31.5">
      <c r="A180" s="98" t="s">
        <v>19</v>
      </c>
      <c r="B180" s="98" t="s">
        <v>6</v>
      </c>
      <c r="C180" s="98" t="s">
        <v>293</v>
      </c>
      <c r="D180" s="98">
        <v>240</v>
      </c>
      <c r="E180" s="99" t="s">
        <v>216</v>
      </c>
      <c r="F180" s="21">
        <f>680.1-377.8</f>
        <v>302.3</v>
      </c>
      <c r="G180" s="21">
        <v>257.39999999999998</v>
      </c>
    </row>
    <row r="181" spans="1:7">
      <c r="A181" s="202" t="s">
        <v>19</v>
      </c>
      <c r="B181" s="202" t="s">
        <v>47</v>
      </c>
      <c r="C181" s="202" t="s">
        <v>64</v>
      </c>
      <c r="D181" s="202" t="s">
        <v>64</v>
      </c>
      <c r="E181" s="49" t="s">
        <v>26</v>
      </c>
      <c r="F181" s="21">
        <f t="shared" ref="F181:F186" si="49">F182</f>
        <v>29.7</v>
      </c>
      <c r="G181" s="21">
        <f t="shared" ref="G181:G186" si="50">G182</f>
        <v>29.7</v>
      </c>
    </row>
    <row r="182" spans="1:7" ht="47.25">
      <c r="A182" s="202" t="s">
        <v>19</v>
      </c>
      <c r="B182" s="202" t="s">
        <v>47</v>
      </c>
      <c r="C182" s="201">
        <v>2600000000</v>
      </c>
      <c r="D182" s="201"/>
      <c r="E182" s="203" t="s">
        <v>316</v>
      </c>
      <c r="F182" s="21">
        <f t="shared" si="49"/>
        <v>29.7</v>
      </c>
      <c r="G182" s="21">
        <f t="shared" si="50"/>
        <v>29.7</v>
      </c>
    </row>
    <row r="183" spans="1:7" ht="31.5">
      <c r="A183" s="202" t="s">
        <v>19</v>
      </c>
      <c r="B183" s="202" t="s">
        <v>47</v>
      </c>
      <c r="C183" s="201">
        <v>2640000000</v>
      </c>
      <c r="D183" s="201"/>
      <c r="E183" s="203" t="s">
        <v>395</v>
      </c>
      <c r="F183" s="21">
        <f t="shared" si="49"/>
        <v>29.7</v>
      </c>
      <c r="G183" s="21">
        <f t="shared" si="50"/>
        <v>29.7</v>
      </c>
    </row>
    <row r="184" spans="1:7" ht="31.5">
      <c r="A184" s="202" t="s">
        <v>19</v>
      </c>
      <c r="B184" s="202" t="s">
        <v>47</v>
      </c>
      <c r="C184" s="201">
        <v>2640300000</v>
      </c>
      <c r="D184" s="202"/>
      <c r="E184" s="203" t="s">
        <v>396</v>
      </c>
      <c r="F184" s="21">
        <f t="shared" si="49"/>
        <v>29.7</v>
      </c>
      <c r="G184" s="21">
        <f t="shared" si="50"/>
        <v>29.7</v>
      </c>
    </row>
    <row r="185" spans="1:7" ht="31.5">
      <c r="A185" s="202" t="s">
        <v>19</v>
      </c>
      <c r="B185" s="202" t="s">
        <v>47</v>
      </c>
      <c r="C185" s="201">
        <v>2640320210</v>
      </c>
      <c r="D185" s="202"/>
      <c r="E185" s="203" t="s">
        <v>397</v>
      </c>
      <c r="F185" s="21">
        <f t="shared" si="49"/>
        <v>29.7</v>
      </c>
      <c r="G185" s="21">
        <f t="shared" si="50"/>
        <v>29.7</v>
      </c>
    </row>
    <row r="186" spans="1:7" ht="31.5">
      <c r="A186" s="202" t="s">
        <v>19</v>
      </c>
      <c r="B186" s="202" t="s">
        <v>47</v>
      </c>
      <c r="C186" s="201">
        <v>2640320210</v>
      </c>
      <c r="D186" s="201" t="s">
        <v>67</v>
      </c>
      <c r="E186" s="203" t="s">
        <v>90</v>
      </c>
      <c r="F186" s="21">
        <f t="shared" si="49"/>
        <v>29.7</v>
      </c>
      <c r="G186" s="21">
        <f t="shared" si="50"/>
        <v>29.7</v>
      </c>
    </row>
    <row r="187" spans="1:7" ht="31.5">
      <c r="A187" s="202" t="s">
        <v>19</v>
      </c>
      <c r="B187" s="202" t="s">
        <v>47</v>
      </c>
      <c r="C187" s="201">
        <v>2640320210</v>
      </c>
      <c r="D187" s="202">
        <v>240</v>
      </c>
      <c r="E187" s="203" t="s">
        <v>216</v>
      </c>
      <c r="F187" s="21">
        <f>33-3.3</f>
        <v>29.7</v>
      </c>
      <c r="G187" s="21">
        <v>29.7</v>
      </c>
    </row>
    <row r="188" spans="1:7">
      <c r="A188" s="98" t="s">
        <v>19</v>
      </c>
      <c r="B188" s="98" t="s">
        <v>56</v>
      </c>
      <c r="C188" s="98" t="s">
        <v>64</v>
      </c>
      <c r="D188" s="98" t="s">
        <v>64</v>
      </c>
      <c r="E188" s="42" t="s">
        <v>27</v>
      </c>
      <c r="F188" s="21">
        <f>F207+F189</f>
        <v>231776.90000000002</v>
      </c>
      <c r="G188" s="21">
        <f>G207+G189</f>
        <v>100989.9</v>
      </c>
    </row>
    <row r="189" spans="1:7">
      <c r="A189" s="98" t="s">
        <v>19</v>
      </c>
      <c r="B189" s="22" t="s">
        <v>228</v>
      </c>
      <c r="C189" s="98"/>
      <c r="D189" s="98"/>
      <c r="E189" s="101" t="s">
        <v>229</v>
      </c>
      <c r="F189" s="21">
        <f>F190+F202</f>
        <v>151001.4</v>
      </c>
      <c r="G189" s="21">
        <f t="shared" ref="G189" si="51">G190+G202</f>
        <v>24273.9</v>
      </c>
    </row>
    <row r="190" spans="1:7" ht="47.25">
      <c r="A190" s="98" t="s">
        <v>19</v>
      </c>
      <c r="B190" s="22" t="s">
        <v>228</v>
      </c>
      <c r="C190" s="100">
        <v>2400000000</v>
      </c>
      <c r="D190" s="98"/>
      <c r="E190" s="56" t="s">
        <v>314</v>
      </c>
      <c r="F190" s="21">
        <f t="shared" ref="F190:G191" si="52">F191</f>
        <v>150828.5</v>
      </c>
      <c r="G190" s="21">
        <f t="shared" si="52"/>
        <v>24101</v>
      </c>
    </row>
    <row r="191" spans="1:7" ht="31.5">
      <c r="A191" s="98" t="s">
        <v>19</v>
      </c>
      <c r="B191" s="22" t="s">
        <v>228</v>
      </c>
      <c r="C191" s="100">
        <v>2430000000</v>
      </c>
      <c r="D191" s="98"/>
      <c r="E191" s="8" t="s">
        <v>332</v>
      </c>
      <c r="F191" s="21">
        <f t="shared" si="52"/>
        <v>150828.5</v>
      </c>
      <c r="G191" s="21">
        <f t="shared" si="52"/>
        <v>24101</v>
      </c>
    </row>
    <row r="192" spans="1:7" ht="31.5">
      <c r="A192" s="98" t="s">
        <v>19</v>
      </c>
      <c r="B192" s="22" t="s">
        <v>228</v>
      </c>
      <c r="C192" s="98">
        <v>2430100000</v>
      </c>
      <c r="D192" s="98"/>
      <c r="E192" s="8" t="s">
        <v>333</v>
      </c>
      <c r="F192" s="21">
        <f>F199+F196+F193</f>
        <v>150828.5</v>
      </c>
      <c r="G192" s="21">
        <f>G199+G196+G193</f>
        <v>24101</v>
      </c>
    </row>
    <row r="193" spans="1:7" ht="31.5">
      <c r="A193" s="167" t="s">
        <v>19</v>
      </c>
      <c r="B193" s="22" t="s">
        <v>228</v>
      </c>
      <c r="C193" s="167">
        <v>2430110110</v>
      </c>
      <c r="D193" s="167"/>
      <c r="E193" s="42" t="s">
        <v>355</v>
      </c>
      <c r="F193" s="21">
        <f>F194</f>
        <v>114167.6</v>
      </c>
      <c r="G193" s="21">
        <f t="shared" ref="G193:G194" si="53">G194</f>
        <v>16508.7</v>
      </c>
    </row>
    <row r="194" spans="1:7" ht="31.5">
      <c r="A194" s="167" t="s">
        <v>19</v>
      </c>
      <c r="B194" s="22" t="s">
        <v>228</v>
      </c>
      <c r="C194" s="167">
        <v>2430110110</v>
      </c>
      <c r="D194" s="166" t="s">
        <v>70</v>
      </c>
      <c r="E194" s="56" t="s">
        <v>91</v>
      </c>
      <c r="F194" s="21">
        <f>F195</f>
        <v>114167.6</v>
      </c>
      <c r="G194" s="21">
        <f t="shared" si="53"/>
        <v>16508.7</v>
      </c>
    </row>
    <row r="195" spans="1:7">
      <c r="A195" s="167" t="s">
        <v>19</v>
      </c>
      <c r="B195" s="22" t="s">
        <v>228</v>
      </c>
      <c r="C195" s="167">
        <v>2430110110</v>
      </c>
      <c r="D195" s="166" t="s">
        <v>114</v>
      </c>
      <c r="E195" s="56" t="s">
        <v>115</v>
      </c>
      <c r="F195" s="21">
        <f>143776-29608.4</f>
        <v>114167.6</v>
      </c>
      <c r="G195" s="21">
        <v>16508.7</v>
      </c>
    </row>
    <row r="196" spans="1:7">
      <c r="A196" s="98" t="s">
        <v>19</v>
      </c>
      <c r="B196" s="22" t="s">
        <v>228</v>
      </c>
      <c r="C196" s="98">
        <v>2430120100</v>
      </c>
      <c r="D196" s="98"/>
      <c r="E196" s="42" t="s">
        <v>286</v>
      </c>
      <c r="F196" s="21">
        <f>F197</f>
        <v>8119</v>
      </c>
      <c r="G196" s="21">
        <f t="shared" ref="G196" si="54">G197</f>
        <v>3465.2</v>
      </c>
    </row>
    <row r="197" spans="1:7" ht="31.5">
      <c r="A197" s="98" t="s">
        <v>19</v>
      </c>
      <c r="B197" s="22" t="s">
        <v>228</v>
      </c>
      <c r="C197" s="119">
        <v>2430120100</v>
      </c>
      <c r="D197" s="100" t="s">
        <v>70</v>
      </c>
      <c r="E197" s="56" t="s">
        <v>91</v>
      </c>
      <c r="F197" s="21">
        <f t="shared" ref="F197:G197" si="55">F198</f>
        <v>8119</v>
      </c>
      <c r="G197" s="21">
        <f t="shared" si="55"/>
        <v>3465.2</v>
      </c>
    </row>
    <row r="198" spans="1:7">
      <c r="A198" s="98" t="s">
        <v>19</v>
      </c>
      <c r="B198" s="22" t="s">
        <v>228</v>
      </c>
      <c r="C198" s="119">
        <v>2430120100</v>
      </c>
      <c r="D198" s="100" t="s">
        <v>114</v>
      </c>
      <c r="E198" s="56" t="s">
        <v>115</v>
      </c>
      <c r="F198" s="21">
        <f>2719.4+828.6+6573.5-2002.5</f>
        <v>8119</v>
      </c>
      <c r="G198" s="21">
        <v>3465.2</v>
      </c>
    </row>
    <row r="199" spans="1:7" ht="31.5">
      <c r="A199" s="98" t="s">
        <v>19</v>
      </c>
      <c r="B199" s="22" t="s">
        <v>228</v>
      </c>
      <c r="C199" s="98" t="s">
        <v>294</v>
      </c>
      <c r="D199" s="98"/>
      <c r="E199" s="42" t="s">
        <v>274</v>
      </c>
      <c r="F199" s="21">
        <f t="shared" ref="F199:G200" si="56">F200</f>
        <v>28541.9</v>
      </c>
      <c r="G199" s="21">
        <f t="shared" si="56"/>
        <v>4127.1000000000004</v>
      </c>
    </row>
    <row r="200" spans="1:7" ht="31.5">
      <c r="A200" s="98" t="s">
        <v>19</v>
      </c>
      <c r="B200" s="22" t="s">
        <v>228</v>
      </c>
      <c r="C200" s="119" t="s">
        <v>294</v>
      </c>
      <c r="D200" s="100" t="s">
        <v>70</v>
      </c>
      <c r="E200" s="56" t="s">
        <v>91</v>
      </c>
      <c r="F200" s="21">
        <f t="shared" si="56"/>
        <v>28541.9</v>
      </c>
      <c r="G200" s="21">
        <f t="shared" si="56"/>
        <v>4127.1000000000004</v>
      </c>
    </row>
    <row r="201" spans="1:7">
      <c r="A201" s="98" t="s">
        <v>19</v>
      </c>
      <c r="B201" s="22" t="s">
        <v>228</v>
      </c>
      <c r="C201" s="119" t="s">
        <v>294</v>
      </c>
      <c r="D201" s="100" t="s">
        <v>114</v>
      </c>
      <c r="E201" s="56" t="s">
        <v>115</v>
      </c>
      <c r="F201" s="21">
        <f>32410.4+3533.6-828.6-6573.5</f>
        <v>28541.9</v>
      </c>
      <c r="G201" s="21">
        <v>4127.1000000000004</v>
      </c>
    </row>
    <row r="202" spans="1:7">
      <c r="A202" s="215" t="s">
        <v>19</v>
      </c>
      <c r="B202" s="22" t="s">
        <v>228</v>
      </c>
      <c r="C202" s="215">
        <v>9900000000</v>
      </c>
      <c r="D202" s="215"/>
      <c r="E202" s="216" t="s">
        <v>100</v>
      </c>
      <c r="F202" s="21">
        <f>F203</f>
        <v>172.9</v>
      </c>
      <c r="G202" s="21">
        <f t="shared" ref="G202" si="57">G203</f>
        <v>172.9</v>
      </c>
    </row>
    <row r="203" spans="1:7">
      <c r="A203" s="215" t="s">
        <v>19</v>
      </c>
      <c r="B203" s="22" t="s">
        <v>228</v>
      </c>
      <c r="C203" s="215">
        <v>9910000000</v>
      </c>
      <c r="D203" s="215"/>
      <c r="E203" s="216" t="s">
        <v>8</v>
      </c>
      <c r="F203" s="21">
        <f>F204</f>
        <v>172.9</v>
      </c>
      <c r="G203" s="21">
        <f t="shared" ref="G203:G205" si="58">G204</f>
        <v>172.9</v>
      </c>
    </row>
    <row r="204" spans="1:7">
      <c r="A204" s="215" t="s">
        <v>19</v>
      </c>
      <c r="B204" s="22" t="s">
        <v>228</v>
      </c>
      <c r="C204" s="215">
        <v>9910020000</v>
      </c>
      <c r="D204" s="215"/>
      <c r="E204" s="216" t="s">
        <v>276</v>
      </c>
      <c r="F204" s="21">
        <f>F205</f>
        <v>172.9</v>
      </c>
      <c r="G204" s="21">
        <f t="shared" si="58"/>
        <v>172.9</v>
      </c>
    </row>
    <row r="205" spans="1:7" ht="31.5">
      <c r="A205" s="215" t="s">
        <v>19</v>
      </c>
      <c r="B205" s="22" t="s">
        <v>228</v>
      </c>
      <c r="C205" s="215">
        <v>9910000000</v>
      </c>
      <c r="D205" s="214" t="s">
        <v>67</v>
      </c>
      <c r="E205" s="56" t="s">
        <v>90</v>
      </c>
      <c r="F205" s="21">
        <f>F206</f>
        <v>172.9</v>
      </c>
      <c r="G205" s="21">
        <f t="shared" si="58"/>
        <v>172.9</v>
      </c>
    </row>
    <row r="206" spans="1:7" ht="31.5">
      <c r="A206" s="215" t="s">
        <v>19</v>
      </c>
      <c r="B206" s="22" t="s">
        <v>228</v>
      </c>
      <c r="C206" s="215">
        <v>9910020000</v>
      </c>
      <c r="D206" s="215">
        <v>240</v>
      </c>
      <c r="E206" s="56" t="s">
        <v>216</v>
      </c>
      <c r="F206" s="21">
        <v>172.9</v>
      </c>
      <c r="G206" s="21">
        <v>172.9</v>
      </c>
    </row>
    <row r="207" spans="1:7">
      <c r="A207" s="98" t="s">
        <v>19</v>
      </c>
      <c r="B207" s="98" t="s">
        <v>48</v>
      </c>
      <c r="C207" s="98" t="s">
        <v>64</v>
      </c>
      <c r="D207" s="98" t="s">
        <v>64</v>
      </c>
      <c r="E207" s="99" t="s">
        <v>28</v>
      </c>
      <c r="F207" s="21">
        <f>F208+F279</f>
        <v>80775.500000000015</v>
      </c>
      <c r="G207" s="21">
        <f t="shared" ref="G207" si="59">G208+G279</f>
        <v>76716</v>
      </c>
    </row>
    <row r="208" spans="1:7" ht="47.25">
      <c r="A208" s="98" t="s">
        <v>19</v>
      </c>
      <c r="B208" s="98" t="s">
        <v>48</v>
      </c>
      <c r="C208" s="100">
        <v>2300000000</v>
      </c>
      <c r="D208" s="98"/>
      <c r="E208" s="99" t="s">
        <v>315</v>
      </c>
      <c r="F208" s="21">
        <f>F209+F224+F271</f>
        <v>80026.400000000009</v>
      </c>
      <c r="G208" s="21">
        <f>G209+G224+G271</f>
        <v>75966.899999999994</v>
      </c>
    </row>
    <row r="209" spans="1:7" ht="47.25">
      <c r="A209" s="98" t="s">
        <v>19</v>
      </c>
      <c r="B209" s="98" t="s">
        <v>48</v>
      </c>
      <c r="C209" s="100">
        <v>2310000000</v>
      </c>
      <c r="D209" s="98"/>
      <c r="E209" s="152" t="s">
        <v>205</v>
      </c>
      <c r="F209" s="21">
        <f>F210+F217</f>
        <v>18110.8</v>
      </c>
      <c r="G209" s="21">
        <f t="shared" ref="G209" si="60">G210+G217</f>
        <v>17943.5</v>
      </c>
    </row>
    <row r="210" spans="1:7" ht="46.9" customHeight="1">
      <c r="A210" s="98" t="s">
        <v>19</v>
      </c>
      <c r="B210" s="98" t="s">
        <v>48</v>
      </c>
      <c r="C210" s="100" t="s">
        <v>295</v>
      </c>
      <c r="D210" s="24"/>
      <c r="E210" s="152" t="s">
        <v>222</v>
      </c>
      <c r="F210" s="21">
        <f>F214+F211</f>
        <v>16509</v>
      </c>
      <c r="G210" s="21">
        <f>G214+G211</f>
        <v>16509</v>
      </c>
    </row>
    <row r="211" spans="1:7">
      <c r="A211" s="98" t="s">
        <v>19</v>
      </c>
      <c r="B211" s="98" t="s">
        <v>48</v>
      </c>
      <c r="C211" s="98" t="s">
        <v>296</v>
      </c>
      <c r="D211" s="98"/>
      <c r="E211" s="62" t="s">
        <v>223</v>
      </c>
      <c r="F211" s="21">
        <f t="shared" ref="F211:G212" si="61">F212</f>
        <v>990.09999999999991</v>
      </c>
      <c r="G211" s="21">
        <f t="shared" si="61"/>
        <v>990.1</v>
      </c>
    </row>
    <row r="212" spans="1:7" ht="31.5">
      <c r="A212" s="98" t="s">
        <v>19</v>
      </c>
      <c r="B212" s="98" t="s">
        <v>48</v>
      </c>
      <c r="C212" s="98" t="s">
        <v>296</v>
      </c>
      <c r="D212" s="100" t="s">
        <v>67</v>
      </c>
      <c r="E212" s="56" t="s">
        <v>90</v>
      </c>
      <c r="F212" s="21">
        <f t="shared" si="61"/>
        <v>990.09999999999991</v>
      </c>
      <c r="G212" s="21">
        <f t="shared" si="61"/>
        <v>990.1</v>
      </c>
    </row>
    <row r="213" spans="1:7" ht="31.5">
      <c r="A213" s="98" t="s">
        <v>19</v>
      </c>
      <c r="B213" s="98" t="s">
        <v>48</v>
      </c>
      <c r="C213" s="98" t="s">
        <v>296</v>
      </c>
      <c r="D213" s="98">
        <v>240</v>
      </c>
      <c r="E213" s="56" t="s">
        <v>216</v>
      </c>
      <c r="F213" s="21">
        <f>793.3+183.9+12.9</f>
        <v>990.09999999999991</v>
      </c>
      <c r="G213" s="21">
        <v>990.1</v>
      </c>
    </row>
    <row r="214" spans="1:7" ht="25.9" customHeight="1">
      <c r="A214" s="98" t="s">
        <v>19</v>
      </c>
      <c r="B214" s="98" t="s">
        <v>48</v>
      </c>
      <c r="C214" s="100" t="s">
        <v>297</v>
      </c>
      <c r="D214" s="98"/>
      <c r="E214" s="97" t="s">
        <v>214</v>
      </c>
      <c r="F214" s="21">
        <f t="shared" ref="F214:G215" si="62">F215</f>
        <v>15518.900000000001</v>
      </c>
      <c r="G214" s="21">
        <f t="shared" si="62"/>
        <v>15518.9</v>
      </c>
    </row>
    <row r="215" spans="1:7" ht="31.5">
      <c r="A215" s="98" t="s">
        <v>19</v>
      </c>
      <c r="B215" s="98" t="s">
        <v>48</v>
      </c>
      <c r="C215" s="100" t="s">
        <v>297</v>
      </c>
      <c r="D215" s="100" t="s">
        <v>67</v>
      </c>
      <c r="E215" s="152" t="s">
        <v>90</v>
      </c>
      <c r="F215" s="21">
        <f t="shared" si="62"/>
        <v>15518.900000000001</v>
      </c>
      <c r="G215" s="21">
        <f t="shared" si="62"/>
        <v>15518.9</v>
      </c>
    </row>
    <row r="216" spans="1:7" ht="31.5">
      <c r="A216" s="98" t="s">
        <v>19</v>
      </c>
      <c r="B216" s="98" t="s">
        <v>48</v>
      </c>
      <c r="C216" s="100" t="s">
        <v>297</v>
      </c>
      <c r="D216" s="98">
        <v>240</v>
      </c>
      <c r="E216" s="152" t="s">
        <v>216</v>
      </c>
      <c r="F216" s="21">
        <f>155.2+15363.7</f>
        <v>15518.900000000001</v>
      </c>
      <c r="G216" s="21">
        <v>15518.9</v>
      </c>
    </row>
    <row r="217" spans="1:7" ht="31.5">
      <c r="A217" s="151" t="s">
        <v>19</v>
      </c>
      <c r="B217" s="151" t="s">
        <v>48</v>
      </c>
      <c r="C217" s="150">
        <v>2310100000</v>
      </c>
      <c r="D217" s="151"/>
      <c r="E217" s="114" t="s">
        <v>343</v>
      </c>
      <c r="F217" s="21">
        <f>F218+F221</f>
        <v>1601.8000000000002</v>
      </c>
      <c r="G217" s="21">
        <f t="shared" ref="G217" si="63">G218+G221</f>
        <v>1434.5</v>
      </c>
    </row>
    <row r="218" spans="1:7">
      <c r="A218" s="151" t="s">
        <v>19</v>
      </c>
      <c r="B218" s="151" t="s">
        <v>48</v>
      </c>
      <c r="C218" s="150">
        <v>2310111180</v>
      </c>
      <c r="D218" s="151"/>
      <c r="E218" s="71" t="s">
        <v>344</v>
      </c>
      <c r="F218" s="21">
        <f>F219</f>
        <v>1000</v>
      </c>
      <c r="G218" s="21">
        <f t="shared" ref="G218:G219" si="64">G219</f>
        <v>920.7</v>
      </c>
    </row>
    <row r="219" spans="1:7" ht="31.5">
      <c r="A219" s="151" t="s">
        <v>19</v>
      </c>
      <c r="B219" s="151" t="s">
        <v>48</v>
      </c>
      <c r="C219" s="150">
        <v>2310111180</v>
      </c>
      <c r="D219" s="150" t="s">
        <v>67</v>
      </c>
      <c r="E219" s="152" t="s">
        <v>90</v>
      </c>
      <c r="F219" s="21">
        <f>F220</f>
        <v>1000</v>
      </c>
      <c r="G219" s="21">
        <f t="shared" si="64"/>
        <v>920.7</v>
      </c>
    </row>
    <row r="220" spans="1:7" ht="31.5">
      <c r="A220" s="151" t="s">
        <v>19</v>
      </c>
      <c r="B220" s="151" t="s">
        <v>48</v>
      </c>
      <c r="C220" s="150">
        <v>2310111180</v>
      </c>
      <c r="D220" s="151">
        <v>240</v>
      </c>
      <c r="E220" s="152" t="s">
        <v>216</v>
      </c>
      <c r="F220" s="21">
        <v>1000</v>
      </c>
      <c r="G220" s="21">
        <v>920.7</v>
      </c>
    </row>
    <row r="221" spans="1:7">
      <c r="A221" s="151" t="s">
        <v>19</v>
      </c>
      <c r="B221" s="151" t="s">
        <v>48</v>
      </c>
      <c r="C221" s="150">
        <v>2310120100</v>
      </c>
      <c r="D221" s="151"/>
      <c r="E221" s="152" t="s">
        <v>223</v>
      </c>
      <c r="F221" s="21">
        <f>F222</f>
        <v>601.80000000000007</v>
      </c>
      <c r="G221" s="21">
        <f t="shared" ref="G221:G222" si="65">G222</f>
        <v>513.79999999999995</v>
      </c>
    </row>
    <row r="222" spans="1:7" ht="31.5">
      <c r="A222" s="151" t="s">
        <v>19</v>
      </c>
      <c r="B222" s="151" t="s">
        <v>48</v>
      </c>
      <c r="C222" s="150">
        <v>2310120100</v>
      </c>
      <c r="D222" s="150" t="s">
        <v>67</v>
      </c>
      <c r="E222" s="152" t="s">
        <v>90</v>
      </c>
      <c r="F222" s="21">
        <f>F223</f>
        <v>601.80000000000007</v>
      </c>
      <c r="G222" s="21">
        <f t="shared" si="65"/>
        <v>513.79999999999995</v>
      </c>
    </row>
    <row r="223" spans="1:7" ht="31.5">
      <c r="A223" s="151" t="s">
        <v>19</v>
      </c>
      <c r="B223" s="151" t="s">
        <v>48</v>
      </c>
      <c r="C223" s="150">
        <v>2310120100</v>
      </c>
      <c r="D223" s="151">
        <v>240</v>
      </c>
      <c r="E223" s="152" t="s">
        <v>216</v>
      </c>
      <c r="F223" s="21">
        <f>693.7-91.9</f>
        <v>601.80000000000007</v>
      </c>
      <c r="G223" s="21">
        <v>513.79999999999995</v>
      </c>
    </row>
    <row r="224" spans="1:7">
      <c r="A224" s="98" t="s">
        <v>19</v>
      </c>
      <c r="B224" s="98" t="s">
        <v>48</v>
      </c>
      <c r="C224" s="100">
        <v>2320000000</v>
      </c>
      <c r="D224" s="98"/>
      <c r="E224" s="99" t="s">
        <v>174</v>
      </c>
      <c r="F224" s="21">
        <f>F241+F225+F267+F263</f>
        <v>58901.100000000006</v>
      </c>
      <c r="G224" s="21">
        <f>G241+G225+G267+G263</f>
        <v>55613.399999999994</v>
      </c>
    </row>
    <row r="225" spans="1:7" ht="31.5">
      <c r="A225" s="144" t="s">
        <v>19</v>
      </c>
      <c r="B225" s="144" t="s">
        <v>48</v>
      </c>
      <c r="C225" s="143">
        <v>2320100000</v>
      </c>
      <c r="D225" s="144"/>
      <c r="E225" s="145" t="s">
        <v>338</v>
      </c>
      <c r="F225" s="21">
        <f>F235+F226+F232+F238+F229</f>
        <v>2945.8</v>
      </c>
      <c r="G225" s="21">
        <f t="shared" ref="G225" si="66">G235+G226+G232+G238+G229</f>
        <v>2894.9</v>
      </c>
    </row>
    <row r="226" spans="1:7" ht="78.75">
      <c r="A226" s="167" t="s">
        <v>19</v>
      </c>
      <c r="B226" s="167" t="s">
        <v>48</v>
      </c>
      <c r="C226" s="167">
        <v>2320119020</v>
      </c>
      <c r="D226" s="167"/>
      <c r="E226" s="168" t="s">
        <v>356</v>
      </c>
      <c r="F226" s="21">
        <f>F227</f>
        <v>539.20000000000005</v>
      </c>
      <c r="G226" s="21">
        <f t="shared" ref="G226:G227" si="67">G227</f>
        <v>539.20000000000005</v>
      </c>
    </row>
    <row r="227" spans="1:7" ht="31.5">
      <c r="A227" s="167" t="s">
        <v>19</v>
      </c>
      <c r="B227" s="167" t="s">
        <v>48</v>
      </c>
      <c r="C227" s="167">
        <v>2320119020</v>
      </c>
      <c r="D227" s="166" t="s">
        <v>67</v>
      </c>
      <c r="E227" s="168" t="s">
        <v>90</v>
      </c>
      <c r="F227" s="21">
        <f>F228</f>
        <v>539.20000000000005</v>
      </c>
      <c r="G227" s="21">
        <f t="shared" si="67"/>
        <v>539.20000000000005</v>
      </c>
    </row>
    <row r="228" spans="1:7" ht="31.5">
      <c r="A228" s="167" t="s">
        <v>19</v>
      </c>
      <c r="B228" s="167" t="s">
        <v>48</v>
      </c>
      <c r="C228" s="167">
        <v>2320119020</v>
      </c>
      <c r="D228" s="167">
        <v>240</v>
      </c>
      <c r="E228" s="168" t="s">
        <v>216</v>
      </c>
      <c r="F228" s="21">
        <f>818.2-279</f>
        <v>539.20000000000005</v>
      </c>
      <c r="G228" s="21">
        <v>539.20000000000005</v>
      </c>
    </row>
    <row r="229" spans="1:7" ht="78.75">
      <c r="A229" s="188" t="s">
        <v>19</v>
      </c>
      <c r="B229" s="188" t="s">
        <v>48</v>
      </c>
      <c r="C229" s="188">
        <v>2320119040</v>
      </c>
      <c r="D229" s="188"/>
      <c r="E229" s="270" t="s">
        <v>383</v>
      </c>
      <c r="F229" s="21">
        <f>F230</f>
        <v>586.90000000000009</v>
      </c>
      <c r="G229" s="21">
        <f t="shared" ref="G229:G230" si="68">G230</f>
        <v>586.9</v>
      </c>
    </row>
    <row r="230" spans="1:7" ht="31.5">
      <c r="A230" s="188" t="s">
        <v>19</v>
      </c>
      <c r="B230" s="188" t="s">
        <v>48</v>
      </c>
      <c r="C230" s="188">
        <v>2320119040</v>
      </c>
      <c r="D230" s="187" t="s">
        <v>67</v>
      </c>
      <c r="E230" s="189" t="s">
        <v>90</v>
      </c>
      <c r="F230" s="21">
        <f>F231</f>
        <v>586.90000000000009</v>
      </c>
      <c r="G230" s="21">
        <f t="shared" si="68"/>
        <v>586.9</v>
      </c>
    </row>
    <row r="231" spans="1:7" ht="31.5">
      <c r="A231" s="188" t="s">
        <v>19</v>
      </c>
      <c r="B231" s="188" t="s">
        <v>48</v>
      </c>
      <c r="C231" s="188">
        <v>2320119040</v>
      </c>
      <c r="D231" s="188">
        <v>240</v>
      </c>
      <c r="E231" s="189" t="s">
        <v>216</v>
      </c>
      <c r="F231" s="21">
        <f>707.7-120.8</f>
        <v>586.90000000000009</v>
      </c>
      <c r="G231" s="21">
        <v>586.9</v>
      </c>
    </row>
    <row r="232" spans="1:7">
      <c r="A232" s="185" t="s">
        <v>19</v>
      </c>
      <c r="B232" s="185" t="s">
        <v>48</v>
      </c>
      <c r="C232" s="184">
        <v>2320120100</v>
      </c>
      <c r="D232" s="185"/>
      <c r="E232" s="186" t="s">
        <v>223</v>
      </c>
      <c r="F232" s="21">
        <f>F233</f>
        <v>1483.0000000000002</v>
      </c>
      <c r="G232" s="21">
        <f t="shared" ref="G232:G233" si="69">G233</f>
        <v>1432.1</v>
      </c>
    </row>
    <row r="233" spans="1:7" ht="31.5">
      <c r="A233" s="185" t="s">
        <v>19</v>
      </c>
      <c r="B233" s="185" t="s">
        <v>48</v>
      </c>
      <c r="C233" s="184">
        <v>2320120100</v>
      </c>
      <c r="D233" s="184" t="s">
        <v>67</v>
      </c>
      <c r="E233" s="186" t="s">
        <v>90</v>
      </c>
      <c r="F233" s="21">
        <f>F234</f>
        <v>1483.0000000000002</v>
      </c>
      <c r="G233" s="21">
        <f t="shared" si="69"/>
        <v>1432.1</v>
      </c>
    </row>
    <row r="234" spans="1:7" ht="31.5">
      <c r="A234" s="185" t="s">
        <v>19</v>
      </c>
      <c r="B234" s="185" t="s">
        <v>48</v>
      </c>
      <c r="C234" s="184">
        <v>2320120100</v>
      </c>
      <c r="D234" s="185">
        <v>240</v>
      </c>
      <c r="E234" s="186" t="s">
        <v>216</v>
      </c>
      <c r="F234" s="21">
        <f>1263+20+166.4+20-8.1+21.7</f>
        <v>1483.0000000000002</v>
      </c>
      <c r="G234" s="21">
        <v>1432.1</v>
      </c>
    </row>
    <row r="235" spans="1:7" ht="78.75">
      <c r="A235" s="98" t="s">
        <v>19</v>
      </c>
      <c r="B235" s="98" t="s">
        <v>48</v>
      </c>
      <c r="C235" s="123" t="s">
        <v>319</v>
      </c>
      <c r="D235" s="98"/>
      <c r="E235" s="124" t="s">
        <v>354</v>
      </c>
      <c r="F235" s="21">
        <f t="shared" ref="F235:G236" si="70">F236</f>
        <v>231.1</v>
      </c>
      <c r="G235" s="21">
        <f t="shared" si="70"/>
        <v>231.1</v>
      </c>
    </row>
    <row r="236" spans="1:7" ht="31.5">
      <c r="A236" s="98" t="s">
        <v>19</v>
      </c>
      <c r="B236" s="98" t="s">
        <v>48</v>
      </c>
      <c r="C236" s="123" t="s">
        <v>319</v>
      </c>
      <c r="D236" s="100" t="s">
        <v>67</v>
      </c>
      <c r="E236" s="124" t="s">
        <v>90</v>
      </c>
      <c r="F236" s="21">
        <f t="shared" si="70"/>
        <v>231.1</v>
      </c>
      <c r="G236" s="21">
        <f t="shared" si="70"/>
        <v>231.1</v>
      </c>
    </row>
    <row r="237" spans="1:7" ht="31.5">
      <c r="A237" s="98" t="s">
        <v>19</v>
      </c>
      <c r="B237" s="98" t="s">
        <v>48</v>
      </c>
      <c r="C237" s="123" t="s">
        <v>319</v>
      </c>
      <c r="D237" s="98">
        <v>240</v>
      </c>
      <c r="E237" s="124" t="s">
        <v>216</v>
      </c>
      <c r="F237" s="21">
        <f>58.5-20+192.6-99.6+99.6</f>
        <v>231.1</v>
      </c>
      <c r="G237" s="21">
        <v>231.1</v>
      </c>
    </row>
    <row r="238" spans="1:7" ht="78.75">
      <c r="A238" s="185" t="s">
        <v>19</v>
      </c>
      <c r="B238" s="185" t="s">
        <v>48</v>
      </c>
      <c r="C238" s="185" t="s">
        <v>379</v>
      </c>
      <c r="D238" s="185"/>
      <c r="E238" s="186" t="s">
        <v>380</v>
      </c>
      <c r="F238" s="21">
        <f>F239</f>
        <v>105.6</v>
      </c>
      <c r="G238" s="21">
        <f t="shared" ref="G238:G239" si="71">G239</f>
        <v>105.6</v>
      </c>
    </row>
    <row r="239" spans="1:7" ht="31.5">
      <c r="A239" s="185" t="s">
        <v>19</v>
      </c>
      <c r="B239" s="185" t="s">
        <v>48</v>
      </c>
      <c r="C239" s="185" t="s">
        <v>379</v>
      </c>
      <c r="D239" s="184" t="s">
        <v>67</v>
      </c>
      <c r="E239" s="186" t="s">
        <v>90</v>
      </c>
      <c r="F239" s="21">
        <f>F240</f>
        <v>105.6</v>
      </c>
      <c r="G239" s="21">
        <f t="shared" si="71"/>
        <v>105.6</v>
      </c>
    </row>
    <row r="240" spans="1:7" ht="31.5">
      <c r="A240" s="185" t="s">
        <v>19</v>
      </c>
      <c r="B240" s="185" t="s">
        <v>48</v>
      </c>
      <c r="C240" s="185" t="s">
        <v>379</v>
      </c>
      <c r="D240" s="185">
        <v>240</v>
      </c>
      <c r="E240" s="186" t="s">
        <v>216</v>
      </c>
      <c r="F240" s="21">
        <f>41.8+85.5-21.7</f>
        <v>105.6</v>
      </c>
      <c r="G240" s="21">
        <v>105.6</v>
      </c>
    </row>
    <row r="241" spans="1:7">
      <c r="A241" s="98" t="s">
        <v>19</v>
      </c>
      <c r="B241" s="98" t="s">
        <v>48</v>
      </c>
      <c r="C241" s="100">
        <v>2320200000</v>
      </c>
      <c r="D241" s="98"/>
      <c r="E241" s="99" t="s">
        <v>123</v>
      </c>
      <c r="F241" s="21">
        <f>F242+F245+F248+F257+F251+F260+F254</f>
        <v>54213.3</v>
      </c>
      <c r="G241" s="21">
        <f t="shared" ref="G241" si="72">G242+G245+G248+G257+G251+G260+G254</f>
        <v>51677.799999999996</v>
      </c>
    </row>
    <row r="242" spans="1:7">
      <c r="A242" s="98" t="s">
        <v>19</v>
      </c>
      <c r="B242" s="98" t="s">
        <v>48</v>
      </c>
      <c r="C242" s="98">
        <v>2320220050</v>
      </c>
      <c r="D242" s="98"/>
      <c r="E242" s="99" t="s">
        <v>124</v>
      </c>
      <c r="F242" s="21">
        <f t="shared" ref="F242:G243" si="73">F243</f>
        <v>19729.000000000004</v>
      </c>
      <c r="G242" s="21">
        <f t="shared" si="73"/>
        <v>18741.3</v>
      </c>
    </row>
    <row r="243" spans="1:7" ht="31.5">
      <c r="A243" s="98" t="s">
        <v>19</v>
      </c>
      <c r="B243" s="98" t="s">
        <v>48</v>
      </c>
      <c r="C243" s="98">
        <v>2320220050</v>
      </c>
      <c r="D243" s="100" t="s">
        <v>67</v>
      </c>
      <c r="E243" s="99" t="s">
        <v>90</v>
      </c>
      <c r="F243" s="21">
        <f t="shared" si="73"/>
        <v>19729.000000000004</v>
      </c>
      <c r="G243" s="21">
        <f t="shared" si="73"/>
        <v>18741.3</v>
      </c>
    </row>
    <row r="244" spans="1:7" ht="31.5">
      <c r="A244" s="98" t="s">
        <v>19</v>
      </c>
      <c r="B244" s="98" t="s">
        <v>48</v>
      </c>
      <c r="C244" s="98">
        <v>2320220050</v>
      </c>
      <c r="D244" s="98">
        <v>240</v>
      </c>
      <c r="E244" s="99" t="s">
        <v>216</v>
      </c>
      <c r="F244" s="21">
        <f>18990.4+2450.2-1612-99.6</f>
        <v>19729.000000000004</v>
      </c>
      <c r="G244" s="21">
        <v>18741.3</v>
      </c>
    </row>
    <row r="245" spans="1:7">
      <c r="A245" s="98" t="s">
        <v>19</v>
      </c>
      <c r="B245" s="98" t="s">
        <v>48</v>
      </c>
      <c r="C245" s="98">
        <v>2320220070</v>
      </c>
      <c r="D245" s="98"/>
      <c r="E245" s="99" t="s">
        <v>125</v>
      </c>
      <c r="F245" s="21">
        <f t="shared" ref="F245:G246" si="74">F246</f>
        <v>6478.2000000000007</v>
      </c>
      <c r="G245" s="21">
        <f t="shared" si="74"/>
        <v>6474.8</v>
      </c>
    </row>
    <row r="246" spans="1:7" ht="31.5">
      <c r="A246" s="98" t="s">
        <v>19</v>
      </c>
      <c r="B246" s="98" t="s">
        <v>48</v>
      </c>
      <c r="C246" s="98">
        <v>2320220070</v>
      </c>
      <c r="D246" s="100" t="s">
        <v>67</v>
      </c>
      <c r="E246" s="99" t="s">
        <v>90</v>
      </c>
      <c r="F246" s="21">
        <f t="shared" si="74"/>
        <v>6478.2000000000007</v>
      </c>
      <c r="G246" s="21">
        <f t="shared" si="74"/>
        <v>6474.8</v>
      </c>
    </row>
    <row r="247" spans="1:7" ht="31.5">
      <c r="A247" s="98" t="s">
        <v>19</v>
      </c>
      <c r="B247" s="98" t="s">
        <v>48</v>
      </c>
      <c r="C247" s="98">
        <v>2320220070</v>
      </c>
      <c r="D247" s="98">
        <v>240</v>
      </c>
      <c r="E247" s="99" t="s">
        <v>216</v>
      </c>
      <c r="F247" s="21">
        <f>5199.1+2868.2-2868.2+1612-300-32.9</f>
        <v>6478.2000000000007</v>
      </c>
      <c r="G247" s="21">
        <v>6474.8</v>
      </c>
    </row>
    <row r="248" spans="1:7">
      <c r="A248" s="98" t="s">
        <v>19</v>
      </c>
      <c r="B248" s="98" t="s">
        <v>48</v>
      </c>
      <c r="C248" s="98">
        <v>2320220080</v>
      </c>
      <c r="D248" s="98"/>
      <c r="E248" s="99" t="s">
        <v>126</v>
      </c>
      <c r="F248" s="21">
        <f t="shared" ref="F248:G249" si="75">F249</f>
        <v>1507.3</v>
      </c>
      <c r="G248" s="21">
        <f t="shared" si="75"/>
        <v>1410.3</v>
      </c>
    </row>
    <row r="249" spans="1:7" ht="31.5">
      <c r="A249" s="98" t="s">
        <v>19</v>
      </c>
      <c r="B249" s="98" t="s">
        <v>48</v>
      </c>
      <c r="C249" s="98">
        <v>2320220080</v>
      </c>
      <c r="D249" s="100" t="s">
        <v>67</v>
      </c>
      <c r="E249" s="99" t="s">
        <v>90</v>
      </c>
      <c r="F249" s="21">
        <f t="shared" si="75"/>
        <v>1507.3</v>
      </c>
      <c r="G249" s="21">
        <f t="shared" si="75"/>
        <v>1410.3</v>
      </c>
    </row>
    <row r="250" spans="1:7" ht="31.5">
      <c r="A250" s="98" t="s">
        <v>19</v>
      </c>
      <c r="B250" s="98" t="s">
        <v>48</v>
      </c>
      <c r="C250" s="98">
        <v>2320220080</v>
      </c>
      <c r="D250" s="98">
        <v>240</v>
      </c>
      <c r="E250" s="99" t="s">
        <v>216</v>
      </c>
      <c r="F250" s="21">
        <f>1356.6+150.7</f>
        <v>1507.3</v>
      </c>
      <c r="G250" s="21">
        <v>1410.3</v>
      </c>
    </row>
    <row r="251" spans="1:7">
      <c r="A251" s="179" t="s">
        <v>19</v>
      </c>
      <c r="B251" s="179" t="s">
        <v>48</v>
      </c>
      <c r="C251" s="179">
        <v>2320220090</v>
      </c>
      <c r="D251" s="179"/>
      <c r="E251" s="8" t="s">
        <v>374</v>
      </c>
      <c r="F251" s="21">
        <f>F252</f>
        <v>740.6</v>
      </c>
      <c r="G251" s="21">
        <f t="shared" ref="G251:G252" si="76">G252</f>
        <v>740.6</v>
      </c>
    </row>
    <row r="252" spans="1:7" ht="31.5">
      <c r="A252" s="179" t="s">
        <v>19</v>
      </c>
      <c r="B252" s="179" t="s">
        <v>48</v>
      </c>
      <c r="C252" s="179">
        <v>2320220090</v>
      </c>
      <c r="D252" s="178" t="s">
        <v>67</v>
      </c>
      <c r="E252" s="180" t="s">
        <v>90</v>
      </c>
      <c r="F252" s="21">
        <f>F253</f>
        <v>740.6</v>
      </c>
      <c r="G252" s="21">
        <f t="shared" si="76"/>
        <v>740.6</v>
      </c>
    </row>
    <row r="253" spans="1:7" ht="31.5">
      <c r="A253" s="179" t="s">
        <v>19</v>
      </c>
      <c r="B253" s="179" t="s">
        <v>48</v>
      </c>
      <c r="C253" s="179">
        <v>2320220090</v>
      </c>
      <c r="D253" s="179">
        <v>240</v>
      </c>
      <c r="E253" s="180" t="s">
        <v>216</v>
      </c>
      <c r="F253" s="21">
        <f>722.2+10.3+8.1</f>
        <v>740.6</v>
      </c>
      <c r="G253" s="21">
        <v>740.6</v>
      </c>
    </row>
    <row r="254" spans="1:7" ht="31.5">
      <c r="A254" s="197" t="s">
        <v>19</v>
      </c>
      <c r="B254" s="197" t="s">
        <v>48</v>
      </c>
      <c r="C254" s="197">
        <v>2320220100</v>
      </c>
      <c r="D254" s="197"/>
      <c r="E254" s="8" t="s">
        <v>391</v>
      </c>
      <c r="F254" s="21">
        <f>F255</f>
        <v>39</v>
      </c>
      <c r="G254" s="21">
        <f t="shared" ref="G254:G255" si="77">G255</f>
        <v>27.4</v>
      </c>
    </row>
    <row r="255" spans="1:7" ht="31.5">
      <c r="A255" s="197" t="s">
        <v>19</v>
      </c>
      <c r="B255" s="197" t="s">
        <v>48</v>
      </c>
      <c r="C255" s="197">
        <v>2320220100</v>
      </c>
      <c r="D255" s="196" t="s">
        <v>67</v>
      </c>
      <c r="E255" s="198" t="s">
        <v>90</v>
      </c>
      <c r="F255" s="21">
        <f>F256</f>
        <v>39</v>
      </c>
      <c r="G255" s="21">
        <f t="shared" si="77"/>
        <v>27.4</v>
      </c>
    </row>
    <row r="256" spans="1:7" ht="31.5">
      <c r="A256" s="197" t="s">
        <v>19</v>
      </c>
      <c r="B256" s="197" t="s">
        <v>48</v>
      </c>
      <c r="C256" s="197">
        <v>2320220100</v>
      </c>
      <c r="D256" s="197">
        <v>240</v>
      </c>
      <c r="E256" s="198" t="s">
        <v>216</v>
      </c>
      <c r="F256" s="21">
        <v>39</v>
      </c>
      <c r="G256" s="21">
        <v>27.4</v>
      </c>
    </row>
    <row r="257" spans="1:7">
      <c r="A257" s="149" t="s">
        <v>19</v>
      </c>
      <c r="B257" s="151" t="s">
        <v>48</v>
      </c>
      <c r="C257" s="151">
        <v>2320220110</v>
      </c>
      <c r="D257" s="151"/>
      <c r="E257" s="152" t="s">
        <v>345</v>
      </c>
      <c r="F257" s="21">
        <f>F258</f>
        <v>25672.1</v>
      </c>
      <c r="G257" s="21">
        <f t="shared" ref="G257:G258" si="78">G258</f>
        <v>24236.3</v>
      </c>
    </row>
    <row r="258" spans="1:7" ht="31.5">
      <c r="A258" s="149" t="s">
        <v>19</v>
      </c>
      <c r="B258" s="151" t="s">
        <v>48</v>
      </c>
      <c r="C258" s="151">
        <v>2320220110</v>
      </c>
      <c r="D258" s="150" t="s">
        <v>67</v>
      </c>
      <c r="E258" s="152" t="s">
        <v>90</v>
      </c>
      <c r="F258" s="21">
        <f>F259</f>
        <v>25672.1</v>
      </c>
      <c r="G258" s="21">
        <f t="shared" si="78"/>
        <v>24236.3</v>
      </c>
    </row>
    <row r="259" spans="1:7" ht="31.5">
      <c r="A259" s="149" t="s">
        <v>19</v>
      </c>
      <c r="B259" s="151" t="s">
        <v>48</v>
      </c>
      <c r="C259" s="151">
        <v>2320220110</v>
      </c>
      <c r="D259" s="151">
        <v>240</v>
      </c>
      <c r="E259" s="152" t="s">
        <v>216</v>
      </c>
      <c r="F259" s="21">
        <f>1371+24451.8-150.7</f>
        <v>25672.1</v>
      </c>
      <c r="G259" s="21">
        <v>24236.3</v>
      </c>
    </row>
    <row r="260" spans="1:7">
      <c r="A260" s="191" t="s">
        <v>19</v>
      </c>
      <c r="B260" s="191" t="s">
        <v>48</v>
      </c>
      <c r="C260" s="191">
        <v>2320220280</v>
      </c>
      <c r="D260" s="191"/>
      <c r="E260" s="192" t="s">
        <v>384</v>
      </c>
      <c r="F260" s="21">
        <f>F261</f>
        <v>47.1</v>
      </c>
      <c r="G260" s="21">
        <f t="shared" ref="G260:G261" si="79">G261</f>
        <v>47.1</v>
      </c>
    </row>
    <row r="261" spans="1:7" ht="31.5">
      <c r="A261" s="191" t="s">
        <v>19</v>
      </c>
      <c r="B261" s="191" t="s">
        <v>48</v>
      </c>
      <c r="C261" s="191">
        <v>2320220280</v>
      </c>
      <c r="D261" s="190" t="s">
        <v>67</v>
      </c>
      <c r="E261" s="192" t="s">
        <v>90</v>
      </c>
      <c r="F261" s="21">
        <f>F262</f>
        <v>47.1</v>
      </c>
      <c r="G261" s="21">
        <f t="shared" si="79"/>
        <v>47.1</v>
      </c>
    </row>
    <row r="262" spans="1:7" ht="31.5">
      <c r="A262" s="191" t="s">
        <v>19</v>
      </c>
      <c r="B262" s="191" t="s">
        <v>48</v>
      </c>
      <c r="C262" s="191">
        <v>2320220280</v>
      </c>
      <c r="D262" s="191">
        <v>240</v>
      </c>
      <c r="E262" s="192" t="s">
        <v>216</v>
      </c>
      <c r="F262" s="21">
        <v>47.1</v>
      </c>
      <c r="G262" s="21">
        <v>47.1</v>
      </c>
    </row>
    <row r="263" spans="1:7">
      <c r="A263" s="167" t="s">
        <v>19</v>
      </c>
      <c r="B263" s="167" t="s">
        <v>48</v>
      </c>
      <c r="C263" s="166">
        <v>2320300000</v>
      </c>
      <c r="D263" s="167"/>
      <c r="E263" s="168" t="s">
        <v>361</v>
      </c>
      <c r="F263" s="21">
        <f>F264</f>
        <v>1543.7</v>
      </c>
      <c r="G263" s="21">
        <f t="shared" ref="G263:G265" si="80">G264</f>
        <v>1040.7</v>
      </c>
    </row>
    <row r="264" spans="1:7">
      <c r="A264" s="167" t="s">
        <v>19</v>
      </c>
      <c r="B264" s="167" t="s">
        <v>48</v>
      </c>
      <c r="C264" s="167">
        <v>2320320060</v>
      </c>
      <c r="D264" s="167"/>
      <c r="E264" s="168" t="s">
        <v>362</v>
      </c>
      <c r="F264" s="21">
        <f>F265</f>
        <v>1543.7</v>
      </c>
      <c r="G264" s="21">
        <f t="shared" si="80"/>
        <v>1040.7</v>
      </c>
    </row>
    <row r="265" spans="1:7" ht="31.5">
      <c r="A265" s="167" t="s">
        <v>19</v>
      </c>
      <c r="B265" s="167" t="s">
        <v>48</v>
      </c>
      <c r="C265" s="167">
        <v>2320320060</v>
      </c>
      <c r="D265" s="166" t="s">
        <v>70</v>
      </c>
      <c r="E265" s="56" t="s">
        <v>91</v>
      </c>
      <c r="F265" s="21">
        <f>F266</f>
        <v>1543.7</v>
      </c>
      <c r="G265" s="21">
        <f t="shared" si="80"/>
        <v>1040.7</v>
      </c>
    </row>
    <row r="266" spans="1:7">
      <c r="A266" s="167" t="s">
        <v>19</v>
      </c>
      <c r="B266" s="167" t="s">
        <v>48</v>
      </c>
      <c r="C266" s="167">
        <v>2320320060</v>
      </c>
      <c r="D266" s="166" t="s">
        <v>114</v>
      </c>
      <c r="E266" s="56" t="s">
        <v>115</v>
      </c>
      <c r="F266" s="21">
        <f>969.8+91.9+482</f>
        <v>1543.7</v>
      </c>
      <c r="G266" s="21">
        <v>1040.7</v>
      </c>
    </row>
    <row r="267" spans="1:7" ht="31.5">
      <c r="A267" s="167" t="s">
        <v>19</v>
      </c>
      <c r="B267" s="167" t="s">
        <v>48</v>
      </c>
      <c r="C267" s="166">
        <v>2320500000</v>
      </c>
      <c r="D267" s="166"/>
      <c r="E267" s="168" t="s">
        <v>360</v>
      </c>
      <c r="F267" s="21">
        <f>F268</f>
        <v>198.3</v>
      </c>
      <c r="G267" s="21">
        <f t="shared" ref="G267:G269" si="81">G268</f>
        <v>0</v>
      </c>
    </row>
    <row r="268" spans="1:7">
      <c r="A268" s="167" t="s">
        <v>19</v>
      </c>
      <c r="B268" s="167" t="s">
        <v>48</v>
      </c>
      <c r="C268" s="166">
        <v>2320520100</v>
      </c>
      <c r="D268" s="166"/>
      <c r="E268" s="56" t="s">
        <v>223</v>
      </c>
      <c r="F268" s="21">
        <f>F269</f>
        <v>198.3</v>
      </c>
      <c r="G268" s="21">
        <f t="shared" si="81"/>
        <v>0</v>
      </c>
    </row>
    <row r="269" spans="1:7" ht="31.5">
      <c r="A269" s="167" t="s">
        <v>19</v>
      </c>
      <c r="B269" s="167" t="s">
        <v>48</v>
      </c>
      <c r="C269" s="166">
        <v>2320520100</v>
      </c>
      <c r="D269" s="166" t="s">
        <v>67</v>
      </c>
      <c r="E269" s="168" t="s">
        <v>90</v>
      </c>
      <c r="F269" s="21">
        <f>F270</f>
        <v>198.3</v>
      </c>
      <c r="G269" s="21">
        <f t="shared" si="81"/>
        <v>0</v>
      </c>
    </row>
    <row r="270" spans="1:7" ht="31.5">
      <c r="A270" s="167" t="s">
        <v>19</v>
      </c>
      <c r="B270" s="167" t="s">
        <v>48</v>
      </c>
      <c r="C270" s="166">
        <v>2320520100</v>
      </c>
      <c r="D270" s="167">
        <v>240</v>
      </c>
      <c r="E270" s="168" t="s">
        <v>216</v>
      </c>
      <c r="F270" s="21">
        <v>198.3</v>
      </c>
      <c r="G270" s="21">
        <v>0</v>
      </c>
    </row>
    <row r="271" spans="1:7" ht="31.5">
      <c r="A271" s="98" t="s">
        <v>19</v>
      </c>
      <c r="B271" s="98" t="s">
        <v>48</v>
      </c>
      <c r="C271" s="100">
        <v>2330000000</v>
      </c>
      <c r="D271" s="98"/>
      <c r="E271" s="132" t="s">
        <v>329</v>
      </c>
      <c r="F271" s="21">
        <f>F272</f>
        <v>3014.5</v>
      </c>
      <c r="G271" s="21">
        <f t="shared" ref="G271:G274" si="82">G272</f>
        <v>2410</v>
      </c>
    </row>
    <row r="272" spans="1:7" ht="47.25">
      <c r="A272" s="98" t="s">
        <v>19</v>
      </c>
      <c r="B272" s="98" t="s">
        <v>48</v>
      </c>
      <c r="C272" s="100">
        <v>2330100000</v>
      </c>
      <c r="D272" s="98"/>
      <c r="E272" s="99" t="s">
        <v>206</v>
      </c>
      <c r="F272" s="21">
        <f>F273+F276</f>
        <v>3014.5</v>
      </c>
      <c r="G272" s="21">
        <f>G273+G276</f>
        <v>2410</v>
      </c>
    </row>
    <row r="273" spans="1:7" ht="31.5">
      <c r="A273" s="98" t="s">
        <v>19</v>
      </c>
      <c r="B273" s="98" t="s">
        <v>48</v>
      </c>
      <c r="C273" s="100">
        <v>2330120090</v>
      </c>
      <c r="D273" s="98"/>
      <c r="E273" s="99" t="s">
        <v>317</v>
      </c>
      <c r="F273" s="21">
        <f>F274</f>
        <v>1238.4000000000001</v>
      </c>
      <c r="G273" s="21">
        <f t="shared" si="82"/>
        <v>797.2</v>
      </c>
    </row>
    <row r="274" spans="1:7" ht="31.5">
      <c r="A274" s="98" t="s">
        <v>19</v>
      </c>
      <c r="B274" s="98" t="s">
        <v>48</v>
      </c>
      <c r="C274" s="122">
        <v>2330120090</v>
      </c>
      <c r="D274" s="100" t="s">
        <v>67</v>
      </c>
      <c r="E274" s="99" t="s">
        <v>90</v>
      </c>
      <c r="F274" s="21">
        <f>F275</f>
        <v>1238.4000000000001</v>
      </c>
      <c r="G274" s="21">
        <f t="shared" si="82"/>
        <v>797.2</v>
      </c>
    </row>
    <row r="275" spans="1:7" ht="31.5">
      <c r="A275" s="98" t="s">
        <v>19</v>
      </c>
      <c r="B275" s="98" t="s">
        <v>48</v>
      </c>
      <c r="C275" s="122">
        <v>2330120090</v>
      </c>
      <c r="D275" s="98">
        <v>240</v>
      </c>
      <c r="E275" s="99" t="s">
        <v>216</v>
      </c>
      <c r="F275" s="21">
        <v>1238.4000000000001</v>
      </c>
      <c r="G275" s="21">
        <v>797.2</v>
      </c>
    </row>
    <row r="276" spans="1:7">
      <c r="A276" s="106" t="s">
        <v>19</v>
      </c>
      <c r="B276" s="106" t="s">
        <v>48</v>
      </c>
      <c r="C276" s="108">
        <v>2330120100</v>
      </c>
      <c r="D276" s="78"/>
      <c r="E276" s="42" t="s">
        <v>318</v>
      </c>
      <c r="F276" s="21">
        <f t="shared" ref="F276:G277" si="83">F277</f>
        <v>1776.1</v>
      </c>
      <c r="G276" s="21">
        <f t="shared" si="83"/>
        <v>1612.8</v>
      </c>
    </row>
    <row r="277" spans="1:7" ht="31.5">
      <c r="A277" s="106" t="s">
        <v>19</v>
      </c>
      <c r="B277" s="106" t="s">
        <v>48</v>
      </c>
      <c r="C277" s="122">
        <v>2330120100</v>
      </c>
      <c r="D277" s="109" t="s">
        <v>67</v>
      </c>
      <c r="E277" s="107" t="s">
        <v>90</v>
      </c>
      <c r="F277" s="21">
        <f t="shared" si="83"/>
        <v>1776.1</v>
      </c>
      <c r="G277" s="21">
        <f t="shared" si="83"/>
        <v>1612.8</v>
      </c>
    </row>
    <row r="278" spans="1:7" ht="31.5">
      <c r="A278" s="106" t="s">
        <v>19</v>
      </c>
      <c r="B278" s="106" t="s">
        <v>48</v>
      </c>
      <c r="C278" s="122">
        <v>2330120100</v>
      </c>
      <c r="D278" s="78">
        <v>240</v>
      </c>
      <c r="E278" s="107" t="s">
        <v>216</v>
      </c>
      <c r="F278" s="21">
        <v>1776.1</v>
      </c>
      <c r="G278" s="21">
        <v>1612.8</v>
      </c>
    </row>
    <row r="279" spans="1:7">
      <c r="A279" s="202" t="s">
        <v>19</v>
      </c>
      <c r="B279" s="202" t="s">
        <v>48</v>
      </c>
      <c r="C279" s="202">
        <v>9900000000</v>
      </c>
      <c r="D279" s="202"/>
      <c r="E279" s="203" t="s">
        <v>100</v>
      </c>
      <c r="F279" s="21">
        <f>F280</f>
        <v>749.1</v>
      </c>
      <c r="G279" s="21">
        <f t="shared" ref="G279:G282" si="84">G280</f>
        <v>749.1</v>
      </c>
    </row>
    <row r="280" spans="1:7" ht="31.5">
      <c r="A280" s="202" t="s">
        <v>19</v>
      </c>
      <c r="B280" s="202" t="s">
        <v>48</v>
      </c>
      <c r="C280" s="202">
        <v>9930000000</v>
      </c>
      <c r="D280" s="202"/>
      <c r="E280" s="56" t="s">
        <v>150</v>
      </c>
      <c r="F280" s="21">
        <f>F281</f>
        <v>749.1</v>
      </c>
      <c r="G280" s="21">
        <f t="shared" si="84"/>
        <v>749.1</v>
      </c>
    </row>
    <row r="281" spans="1:7" ht="31.5">
      <c r="A281" s="202" t="s">
        <v>19</v>
      </c>
      <c r="B281" s="202" t="s">
        <v>48</v>
      </c>
      <c r="C281" s="202">
        <v>9930020490</v>
      </c>
      <c r="D281" s="202"/>
      <c r="E281" s="56" t="s">
        <v>363</v>
      </c>
      <c r="F281" s="21">
        <f>F282</f>
        <v>749.1</v>
      </c>
      <c r="G281" s="21">
        <f t="shared" si="84"/>
        <v>749.1</v>
      </c>
    </row>
    <row r="282" spans="1:7">
      <c r="A282" s="202" t="s">
        <v>19</v>
      </c>
      <c r="B282" s="202" t="s">
        <v>48</v>
      </c>
      <c r="C282" s="202">
        <v>9930020490</v>
      </c>
      <c r="D282" s="11" t="s">
        <v>68</v>
      </c>
      <c r="E282" s="42" t="s">
        <v>69</v>
      </c>
      <c r="F282" s="21">
        <f>F283</f>
        <v>749.1</v>
      </c>
      <c r="G282" s="21">
        <f t="shared" si="84"/>
        <v>749.1</v>
      </c>
    </row>
    <row r="283" spans="1:7">
      <c r="A283" s="202" t="s">
        <v>19</v>
      </c>
      <c r="B283" s="202" t="s">
        <v>48</v>
      </c>
      <c r="C283" s="202">
        <v>9930020490</v>
      </c>
      <c r="D283" s="1" t="s">
        <v>364</v>
      </c>
      <c r="E283" s="140" t="s">
        <v>365</v>
      </c>
      <c r="F283" s="21">
        <v>749.1</v>
      </c>
      <c r="G283" s="21">
        <v>749.1</v>
      </c>
    </row>
    <row r="284" spans="1:7">
      <c r="A284" s="98" t="s">
        <v>19</v>
      </c>
      <c r="B284" s="98" t="s">
        <v>37</v>
      </c>
      <c r="C284" s="98" t="s">
        <v>64</v>
      </c>
      <c r="D284" s="98" t="s">
        <v>64</v>
      </c>
      <c r="E284" s="99" t="s">
        <v>29</v>
      </c>
      <c r="F284" s="21">
        <f>F285+F329+F322</f>
        <v>30556.3</v>
      </c>
      <c r="G284" s="21">
        <f>G285+G329+G322</f>
        <v>30436.400000000001</v>
      </c>
    </row>
    <row r="285" spans="1:7">
      <c r="A285" s="9" t="s">
        <v>19</v>
      </c>
      <c r="B285" s="9" t="s">
        <v>86</v>
      </c>
      <c r="C285" s="10"/>
      <c r="D285" s="10"/>
      <c r="E285" s="99" t="s">
        <v>87</v>
      </c>
      <c r="F285" s="21">
        <f>F286+F308</f>
        <v>30270.7</v>
      </c>
      <c r="G285" s="21">
        <f>G286+G308</f>
        <v>30267.9</v>
      </c>
    </row>
    <row r="286" spans="1:7" ht="33.75" customHeight="1">
      <c r="A286" s="9" t="s">
        <v>19</v>
      </c>
      <c r="B286" s="98" t="s">
        <v>86</v>
      </c>
      <c r="C286" s="100">
        <v>2100000000</v>
      </c>
      <c r="D286" s="98"/>
      <c r="E286" s="99" t="s">
        <v>313</v>
      </c>
      <c r="F286" s="21">
        <f>F287</f>
        <v>29511.200000000001</v>
      </c>
      <c r="G286" s="21">
        <f>G287</f>
        <v>29511.200000000001</v>
      </c>
    </row>
    <row r="287" spans="1:7">
      <c r="A287" s="9" t="s">
        <v>19</v>
      </c>
      <c r="B287" s="98" t="s">
        <v>86</v>
      </c>
      <c r="C287" s="100">
        <v>2120000000</v>
      </c>
      <c r="D287" s="98"/>
      <c r="E287" s="99" t="s">
        <v>116</v>
      </c>
      <c r="F287" s="21">
        <f>F288+F304</f>
        <v>29511.200000000001</v>
      </c>
      <c r="G287" s="21">
        <f>G288+G304</f>
        <v>29511.200000000001</v>
      </c>
    </row>
    <row r="288" spans="1:7" ht="47.25">
      <c r="A288" s="9" t="s">
        <v>19</v>
      </c>
      <c r="B288" s="98" t="s">
        <v>86</v>
      </c>
      <c r="C288" s="100">
        <v>2120100000</v>
      </c>
      <c r="D288" s="98"/>
      <c r="E288" s="99" t="s">
        <v>117</v>
      </c>
      <c r="F288" s="21">
        <f>F295+F289+F298+F292+F301</f>
        <v>26821</v>
      </c>
      <c r="G288" s="21">
        <f t="shared" ref="G288" si="85">G295+G289+G298+G292+G301</f>
        <v>26821</v>
      </c>
    </row>
    <row r="289" spans="1:7" ht="47.25">
      <c r="A289" s="9" t="s">
        <v>19</v>
      </c>
      <c r="B289" s="98" t="s">
        <v>86</v>
      </c>
      <c r="C289" s="98">
        <v>2120110690</v>
      </c>
      <c r="D289" s="98"/>
      <c r="E289" s="56" t="s">
        <v>230</v>
      </c>
      <c r="F289" s="21">
        <f t="shared" ref="F289:G290" si="86">F290</f>
        <v>10059.300000000001</v>
      </c>
      <c r="G289" s="21">
        <f t="shared" si="86"/>
        <v>10059.299999999999</v>
      </c>
    </row>
    <row r="290" spans="1:7" ht="31.5">
      <c r="A290" s="9" t="s">
        <v>19</v>
      </c>
      <c r="B290" s="98" t="s">
        <v>86</v>
      </c>
      <c r="C290" s="98">
        <v>2120110690</v>
      </c>
      <c r="D290" s="100" t="s">
        <v>92</v>
      </c>
      <c r="E290" s="56" t="s">
        <v>93</v>
      </c>
      <c r="F290" s="21">
        <f t="shared" si="86"/>
        <v>10059.300000000001</v>
      </c>
      <c r="G290" s="21">
        <f t="shared" si="86"/>
        <v>10059.299999999999</v>
      </c>
    </row>
    <row r="291" spans="1:7">
      <c r="A291" s="9" t="s">
        <v>19</v>
      </c>
      <c r="B291" s="98" t="s">
        <v>86</v>
      </c>
      <c r="C291" s="119">
        <v>2120110690</v>
      </c>
      <c r="D291" s="98">
        <v>610</v>
      </c>
      <c r="E291" s="56" t="s">
        <v>99</v>
      </c>
      <c r="F291" s="21">
        <f>6319.2+2995+745.1</f>
        <v>10059.300000000001</v>
      </c>
      <c r="G291" s="21">
        <v>10059.299999999999</v>
      </c>
    </row>
    <row r="292" spans="1:7" ht="47.25">
      <c r="A292" s="9" t="s">
        <v>19</v>
      </c>
      <c r="B292" s="212" t="s">
        <v>86</v>
      </c>
      <c r="C292" s="10" t="s">
        <v>404</v>
      </c>
      <c r="D292" s="10"/>
      <c r="E292" s="42" t="s">
        <v>401</v>
      </c>
      <c r="F292" s="21">
        <f>F293</f>
        <v>89</v>
      </c>
      <c r="G292" s="21">
        <f t="shared" ref="G292:G293" si="87">G293</f>
        <v>89</v>
      </c>
    </row>
    <row r="293" spans="1:7" ht="31.5">
      <c r="A293" s="9" t="s">
        <v>19</v>
      </c>
      <c r="B293" s="212" t="s">
        <v>86</v>
      </c>
      <c r="C293" s="10" t="s">
        <v>404</v>
      </c>
      <c r="D293" s="211" t="s">
        <v>92</v>
      </c>
      <c r="E293" s="213" t="s">
        <v>93</v>
      </c>
      <c r="F293" s="21">
        <f>F294</f>
        <v>89</v>
      </c>
      <c r="G293" s="21">
        <f t="shared" si="87"/>
        <v>89</v>
      </c>
    </row>
    <row r="294" spans="1:7">
      <c r="A294" s="9" t="s">
        <v>19</v>
      </c>
      <c r="B294" s="212" t="s">
        <v>86</v>
      </c>
      <c r="C294" s="10" t="s">
        <v>404</v>
      </c>
      <c r="D294" s="212">
        <v>610</v>
      </c>
      <c r="E294" s="213" t="s">
        <v>99</v>
      </c>
      <c r="F294" s="21">
        <v>89</v>
      </c>
      <c r="G294" s="21">
        <v>89</v>
      </c>
    </row>
    <row r="295" spans="1:7" ht="31.5">
      <c r="A295" s="9" t="s">
        <v>19</v>
      </c>
      <c r="B295" s="98" t="s">
        <v>86</v>
      </c>
      <c r="C295" s="100">
        <v>2120120010</v>
      </c>
      <c r="D295" s="98"/>
      <c r="E295" s="99" t="s">
        <v>118</v>
      </c>
      <c r="F295" s="21">
        <f t="shared" ref="F295:G296" si="88">F296</f>
        <v>16570.199999999997</v>
      </c>
      <c r="G295" s="21">
        <f t="shared" si="88"/>
        <v>16570.2</v>
      </c>
    </row>
    <row r="296" spans="1:7" ht="31.5">
      <c r="A296" s="9" t="s">
        <v>19</v>
      </c>
      <c r="B296" s="98" t="s">
        <v>86</v>
      </c>
      <c r="C296" s="120">
        <v>2120120010</v>
      </c>
      <c r="D296" s="100" t="s">
        <v>92</v>
      </c>
      <c r="E296" s="99" t="s">
        <v>93</v>
      </c>
      <c r="F296" s="21">
        <f t="shared" si="88"/>
        <v>16570.199999999997</v>
      </c>
      <c r="G296" s="21">
        <f t="shared" si="88"/>
        <v>16570.2</v>
      </c>
    </row>
    <row r="297" spans="1:7">
      <c r="A297" s="9" t="s">
        <v>19</v>
      </c>
      <c r="B297" s="98" t="s">
        <v>86</v>
      </c>
      <c r="C297" s="120">
        <v>2120120010</v>
      </c>
      <c r="D297" s="98">
        <v>610</v>
      </c>
      <c r="E297" s="99" t="s">
        <v>99</v>
      </c>
      <c r="F297" s="21">
        <f>16369.4-30.3+171.9+17.1+50.5-8.4</f>
        <v>16570.199999999997</v>
      </c>
      <c r="G297" s="21">
        <v>16570.2</v>
      </c>
    </row>
    <row r="298" spans="1:7" ht="47.25">
      <c r="A298" s="9" t="s">
        <v>19</v>
      </c>
      <c r="B298" s="98" t="s">
        <v>86</v>
      </c>
      <c r="C298" s="98" t="s">
        <v>298</v>
      </c>
      <c r="D298" s="98"/>
      <c r="E298" s="56" t="s">
        <v>239</v>
      </c>
      <c r="F298" s="21">
        <f t="shared" ref="F298:G299" si="89">F299</f>
        <v>101.6</v>
      </c>
      <c r="G298" s="21">
        <f t="shared" si="89"/>
        <v>101.6</v>
      </c>
    </row>
    <row r="299" spans="1:7" ht="31.5">
      <c r="A299" s="9" t="s">
        <v>19</v>
      </c>
      <c r="B299" s="98" t="s">
        <v>86</v>
      </c>
      <c r="C299" s="98" t="s">
        <v>298</v>
      </c>
      <c r="D299" s="100" t="s">
        <v>92</v>
      </c>
      <c r="E299" s="56" t="s">
        <v>93</v>
      </c>
      <c r="F299" s="21">
        <f t="shared" si="89"/>
        <v>101.6</v>
      </c>
      <c r="G299" s="21">
        <f t="shared" si="89"/>
        <v>101.6</v>
      </c>
    </row>
    <row r="300" spans="1:7">
      <c r="A300" s="9" t="s">
        <v>19</v>
      </c>
      <c r="B300" s="98" t="s">
        <v>86</v>
      </c>
      <c r="C300" s="68" t="s">
        <v>298</v>
      </c>
      <c r="D300" s="68">
        <v>610</v>
      </c>
      <c r="E300" s="207" t="s">
        <v>99</v>
      </c>
      <c r="F300" s="21">
        <f>63.8+30.3+7.5</f>
        <v>101.6</v>
      </c>
      <c r="G300" s="21">
        <v>101.6</v>
      </c>
    </row>
    <row r="301" spans="1:7" ht="47.25">
      <c r="A301" s="9" t="s">
        <v>19</v>
      </c>
      <c r="B301" s="212" t="s">
        <v>86</v>
      </c>
      <c r="C301" s="10" t="s">
        <v>405</v>
      </c>
      <c r="D301" s="11"/>
      <c r="E301" s="213" t="s">
        <v>403</v>
      </c>
      <c r="F301" s="169">
        <f>F302</f>
        <v>0.9</v>
      </c>
      <c r="G301" s="169">
        <f t="shared" ref="G301:G302" si="90">G302</f>
        <v>0.9</v>
      </c>
    </row>
    <row r="302" spans="1:7" ht="31.5">
      <c r="A302" s="9" t="s">
        <v>19</v>
      </c>
      <c r="B302" s="212" t="s">
        <v>86</v>
      </c>
      <c r="C302" s="10" t="s">
        <v>405</v>
      </c>
      <c r="D302" s="211" t="s">
        <v>92</v>
      </c>
      <c r="E302" s="213" t="s">
        <v>93</v>
      </c>
      <c r="F302" s="169">
        <f>F303</f>
        <v>0.9</v>
      </c>
      <c r="G302" s="169">
        <f t="shared" si="90"/>
        <v>0.9</v>
      </c>
    </row>
    <row r="303" spans="1:7">
      <c r="A303" s="9" t="s">
        <v>19</v>
      </c>
      <c r="B303" s="212" t="s">
        <v>86</v>
      </c>
      <c r="C303" s="10" t="s">
        <v>405</v>
      </c>
      <c r="D303" s="212">
        <v>610</v>
      </c>
      <c r="E303" s="213" t="s">
        <v>99</v>
      </c>
      <c r="F303" s="169">
        <v>0.9</v>
      </c>
      <c r="G303" s="169">
        <v>0.9</v>
      </c>
    </row>
    <row r="304" spans="1:7" ht="31.5">
      <c r="A304" s="9" t="s">
        <v>19</v>
      </c>
      <c r="B304" s="123" t="s">
        <v>86</v>
      </c>
      <c r="C304" s="123" t="s">
        <v>320</v>
      </c>
      <c r="D304" s="123"/>
      <c r="E304" s="56" t="s">
        <v>321</v>
      </c>
      <c r="F304" s="21">
        <f>F305</f>
        <v>2690.2000000000003</v>
      </c>
      <c r="G304" s="21">
        <f t="shared" ref="G304" si="91">G305</f>
        <v>2690.2</v>
      </c>
    </row>
    <row r="305" spans="1:7" ht="47.25">
      <c r="A305" s="9" t="s">
        <v>19</v>
      </c>
      <c r="B305" s="151" t="s">
        <v>86</v>
      </c>
      <c r="C305" s="151" t="s">
        <v>346</v>
      </c>
      <c r="D305" s="151"/>
      <c r="E305" s="56" t="s">
        <v>347</v>
      </c>
      <c r="F305" s="21">
        <f>F306</f>
        <v>2690.2000000000003</v>
      </c>
      <c r="G305" s="21">
        <f t="shared" ref="G305:G306" si="92">G306</f>
        <v>2690.2</v>
      </c>
    </row>
    <row r="306" spans="1:7" ht="31.5">
      <c r="A306" s="9" t="s">
        <v>19</v>
      </c>
      <c r="B306" s="151" t="s">
        <v>86</v>
      </c>
      <c r="C306" s="151" t="s">
        <v>346</v>
      </c>
      <c r="D306" s="150" t="s">
        <v>92</v>
      </c>
      <c r="E306" s="56" t="s">
        <v>93</v>
      </c>
      <c r="F306" s="21">
        <f>F307</f>
        <v>2690.2000000000003</v>
      </c>
      <c r="G306" s="21">
        <f t="shared" si="92"/>
        <v>2690.2</v>
      </c>
    </row>
    <row r="307" spans="1:7">
      <c r="A307" s="9" t="s">
        <v>19</v>
      </c>
      <c r="B307" s="151" t="s">
        <v>86</v>
      </c>
      <c r="C307" s="151" t="s">
        <v>346</v>
      </c>
      <c r="D307" s="151">
        <v>610</v>
      </c>
      <c r="E307" s="56" t="s">
        <v>99</v>
      </c>
      <c r="F307" s="21">
        <f>26.9+2663.3</f>
        <v>2690.2000000000003</v>
      </c>
      <c r="G307" s="21">
        <v>2690.2</v>
      </c>
    </row>
    <row r="308" spans="1:7" ht="31.5">
      <c r="A308" s="9" t="s">
        <v>19</v>
      </c>
      <c r="B308" s="98" t="s">
        <v>86</v>
      </c>
      <c r="C308" s="100">
        <v>2500000000</v>
      </c>
      <c r="D308" s="98"/>
      <c r="E308" s="99" t="s">
        <v>312</v>
      </c>
      <c r="F308" s="21">
        <f>F309</f>
        <v>759.5</v>
      </c>
      <c r="G308" s="21">
        <f t="shared" ref="G308" si="93">G309</f>
        <v>756.7</v>
      </c>
    </row>
    <row r="309" spans="1:7" ht="31.5">
      <c r="A309" s="9" t="s">
        <v>19</v>
      </c>
      <c r="B309" s="98" t="s">
        <v>86</v>
      </c>
      <c r="C309" s="100">
        <v>2520000000</v>
      </c>
      <c r="D309" s="98"/>
      <c r="E309" s="99" t="s">
        <v>241</v>
      </c>
      <c r="F309" s="21">
        <f>F310+F314+F318</f>
        <v>759.5</v>
      </c>
      <c r="G309" s="21">
        <f t="shared" ref="G309" si="94">G310+G314+G318</f>
        <v>756.7</v>
      </c>
    </row>
    <row r="310" spans="1:7" ht="31.5">
      <c r="A310" s="9" t="s">
        <v>19</v>
      </c>
      <c r="B310" s="123" t="s">
        <v>86</v>
      </c>
      <c r="C310" s="122">
        <v>2520400000</v>
      </c>
      <c r="D310" s="123"/>
      <c r="E310" s="56" t="s">
        <v>330</v>
      </c>
      <c r="F310" s="21">
        <f>F311</f>
        <v>87.6</v>
      </c>
      <c r="G310" s="21">
        <f t="shared" ref="G310:G312" si="95">G311</f>
        <v>84.9</v>
      </c>
    </row>
    <row r="311" spans="1:7">
      <c r="A311" s="9" t="s">
        <v>19</v>
      </c>
      <c r="B311" s="123" t="s">
        <v>86</v>
      </c>
      <c r="C311" s="122">
        <v>2520420300</v>
      </c>
      <c r="D311" s="123"/>
      <c r="E311" s="56" t="s">
        <v>331</v>
      </c>
      <c r="F311" s="21">
        <f>F312</f>
        <v>87.6</v>
      </c>
      <c r="G311" s="21">
        <f t="shared" si="95"/>
        <v>84.9</v>
      </c>
    </row>
    <row r="312" spans="1:7" ht="31.5">
      <c r="A312" s="9" t="s">
        <v>19</v>
      </c>
      <c r="B312" s="123" t="s">
        <v>86</v>
      </c>
      <c r="C312" s="122">
        <v>2520420300</v>
      </c>
      <c r="D312" s="122" t="s">
        <v>92</v>
      </c>
      <c r="E312" s="56" t="s">
        <v>93</v>
      </c>
      <c r="F312" s="21">
        <f>F313</f>
        <v>87.6</v>
      </c>
      <c r="G312" s="21">
        <f t="shared" si="95"/>
        <v>84.9</v>
      </c>
    </row>
    <row r="313" spans="1:7">
      <c r="A313" s="9" t="s">
        <v>19</v>
      </c>
      <c r="B313" s="123" t="s">
        <v>86</v>
      </c>
      <c r="C313" s="122">
        <v>2520420300</v>
      </c>
      <c r="D313" s="123">
        <v>610</v>
      </c>
      <c r="E313" s="56" t="s">
        <v>99</v>
      </c>
      <c r="F313" s="21">
        <v>87.6</v>
      </c>
      <c r="G313" s="21">
        <v>84.9</v>
      </c>
    </row>
    <row r="314" spans="1:7" ht="31.5">
      <c r="A314" s="9" t="s">
        <v>19</v>
      </c>
      <c r="B314" s="151" t="s">
        <v>86</v>
      </c>
      <c r="C314" s="150">
        <v>2520500000</v>
      </c>
      <c r="D314" s="151"/>
      <c r="E314" s="152" t="s">
        <v>341</v>
      </c>
      <c r="F314" s="21">
        <f>F315</f>
        <v>84.6</v>
      </c>
      <c r="G314" s="21">
        <f t="shared" ref="G314:G316" si="96">G315</f>
        <v>84.6</v>
      </c>
    </row>
    <row r="315" spans="1:7">
      <c r="A315" s="9" t="s">
        <v>19</v>
      </c>
      <c r="B315" s="151" t="s">
        <v>86</v>
      </c>
      <c r="C315" s="150">
        <v>2520520300</v>
      </c>
      <c r="D315" s="151"/>
      <c r="E315" s="152" t="s">
        <v>342</v>
      </c>
      <c r="F315" s="21">
        <f>F316</f>
        <v>84.6</v>
      </c>
      <c r="G315" s="21">
        <f t="shared" si="96"/>
        <v>84.6</v>
      </c>
    </row>
    <row r="316" spans="1:7" ht="31.5">
      <c r="A316" s="9" t="s">
        <v>19</v>
      </c>
      <c r="B316" s="151" t="s">
        <v>86</v>
      </c>
      <c r="C316" s="150">
        <v>2520520300</v>
      </c>
      <c r="D316" s="150" t="s">
        <v>92</v>
      </c>
      <c r="E316" s="56" t="s">
        <v>93</v>
      </c>
      <c r="F316" s="21">
        <f>F317</f>
        <v>84.6</v>
      </c>
      <c r="G316" s="21">
        <f t="shared" si="96"/>
        <v>84.6</v>
      </c>
    </row>
    <row r="317" spans="1:7">
      <c r="A317" s="9" t="s">
        <v>19</v>
      </c>
      <c r="B317" s="151" t="s">
        <v>86</v>
      </c>
      <c r="C317" s="150">
        <v>2520520300</v>
      </c>
      <c r="D317" s="151">
        <v>610</v>
      </c>
      <c r="E317" s="56" t="s">
        <v>99</v>
      </c>
      <c r="F317" s="21">
        <v>84.6</v>
      </c>
      <c r="G317" s="21">
        <v>84.6</v>
      </c>
    </row>
    <row r="318" spans="1:7" ht="31.5">
      <c r="A318" s="9" t="s">
        <v>19</v>
      </c>
      <c r="B318" s="151" t="s">
        <v>86</v>
      </c>
      <c r="C318" s="150">
        <v>2520600000</v>
      </c>
      <c r="D318" s="151"/>
      <c r="E318" s="152" t="s">
        <v>340</v>
      </c>
      <c r="F318" s="21">
        <f>F319</f>
        <v>587.29999999999995</v>
      </c>
      <c r="G318" s="21">
        <f t="shared" ref="G318:G320" si="97">G319</f>
        <v>587.20000000000005</v>
      </c>
    </row>
    <row r="319" spans="1:7">
      <c r="A319" s="9" t="s">
        <v>19</v>
      </c>
      <c r="B319" s="151" t="s">
        <v>86</v>
      </c>
      <c r="C319" s="150">
        <v>2520620200</v>
      </c>
      <c r="D319" s="151"/>
      <c r="E319" s="152" t="s">
        <v>275</v>
      </c>
      <c r="F319" s="21">
        <f>F320</f>
        <v>587.29999999999995</v>
      </c>
      <c r="G319" s="21">
        <f t="shared" si="97"/>
        <v>587.20000000000005</v>
      </c>
    </row>
    <row r="320" spans="1:7" ht="31.5">
      <c r="A320" s="9" t="s">
        <v>19</v>
      </c>
      <c r="B320" s="151" t="s">
        <v>86</v>
      </c>
      <c r="C320" s="150">
        <v>2520620200</v>
      </c>
      <c r="D320" s="150" t="s">
        <v>92</v>
      </c>
      <c r="E320" s="56" t="s">
        <v>93</v>
      </c>
      <c r="F320" s="21">
        <f>F321</f>
        <v>587.29999999999995</v>
      </c>
      <c r="G320" s="21">
        <f t="shared" si="97"/>
        <v>587.20000000000005</v>
      </c>
    </row>
    <row r="321" spans="1:7">
      <c r="A321" s="9" t="s">
        <v>19</v>
      </c>
      <c r="B321" s="151" t="s">
        <v>86</v>
      </c>
      <c r="C321" s="150">
        <v>2520620200</v>
      </c>
      <c r="D321" s="151">
        <v>610</v>
      </c>
      <c r="E321" s="56" t="s">
        <v>99</v>
      </c>
      <c r="F321" s="21">
        <v>587.29999999999995</v>
      </c>
      <c r="G321" s="21">
        <v>587.20000000000005</v>
      </c>
    </row>
    <row r="322" spans="1:7" ht="31.5">
      <c r="A322" s="9" t="s">
        <v>19</v>
      </c>
      <c r="B322" s="22" t="s">
        <v>190</v>
      </c>
      <c r="C322" s="100"/>
      <c r="D322" s="98"/>
      <c r="E322" s="99" t="s">
        <v>218</v>
      </c>
      <c r="F322" s="21">
        <f t="shared" ref="F322:G327" si="98">F323</f>
        <v>150</v>
      </c>
      <c r="G322" s="21">
        <f t="shared" si="98"/>
        <v>33.1</v>
      </c>
    </row>
    <row r="323" spans="1:7" ht="47.25">
      <c r="A323" s="9" t="s">
        <v>19</v>
      </c>
      <c r="B323" s="22" t="s">
        <v>190</v>
      </c>
      <c r="C323" s="100">
        <v>2600000000</v>
      </c>
      <c r="D323" s="100"/>
      <c r="E323" s="124" t="s">
        <v>316</v>
      </c>
      <c r="F323" s="21">
        <f t="shared" si="98"/>
        <v>150</v>
      </c>
      <c r="G323" s="21">
        <f t="shared" si="98"/>
        <v>33.1</v>
      </c>
    </row>
    <row r="324" spans="1:7" ht="47.25">
      <c r="A324" s="9" t="s">
        <v>19</v>
      </c>
      <c r="B324" s="22" t="s">
        <v>190</v>
      </c>
      <c r="C324" s="122">
        <v>2630000000</v>
      </c>
      <c r="D324" s="1"/>
      <c r="E324" s="47" t="s">
        <v>191</v>
      </c>
      <c r="F324" s="21">
        <f t="shared" si="98"/>
        <v>150</v>
      </c>
      <c r="G324" s="21">
        <f t="shared" si="98"/>
        <v>33.1</v>
      </c>
    </row>
    <row r="325" spans="1:7" ht="31.5">
      <c r="A325" s="9" t="s">
        <v>19</v>
      </c>
      <c r="B325" s="22" t="s">
        <v>190</v>
      </c>
      <c r="C325" s="100">
        <v>2630100000</v>
      </c>
      <c r="D325" s="98"/>
      <c r="E325" s="99" t="s">
        <v>193</v>
      </c>
      <c r="F325" s="21">
        <f t="shared" si="98"/>
        <v>150</v>
      </c>
      <c r="G325" s="21">
        <f t="shared" si="98"/>
        <v>33.1</v>
      </c>
    </row>
    <row r="326" spans="1:7">
      <c r="A326" s="9" t="s">
        <v>19</v>
      </c>
      <c r="B326" s="22" t="s">
        <v>190</v>
      </c>
      <c r="C326" s="100">
        <v>2630120510</v>
      </c>
      <c r="D326" s="98"/>
      <c r="E326" s="99" t="s">
        <v>195</v>
      </c>
      <c r="F326" s="21">
        <f t="shared" si="98"/>
        <v>150</v>
      </c>
      <c r="G326" s="21">
        <f t="shared" si="98"/>
        <v>33.1</v>
      </c>
    </row>
    <row r="327" spans="1:7" ht="31.5">
      <c r="A327" s="9" t="s">
        <v>19</v>
      </c>
      <c r="B327" s="22" t="s">
        <v>190</v>
      </c>
      <c r="C327" s="122">
        <v>2630120510</v>
      </c>
      <c r="D327" s="100" t="s">
        <v>67</v>
      </c>
      <c r="E327" s="99" t="s">
        <v>90</v>
      </c>
      <c r="F327" s="21">
        <f t="shared" si="98"/>
        <v>150</v>
      </c>
      <c r="G327" s="21">
        <f t="shared" si="98"/>
        <v>33.1</v>
      </c>
    </row>
    <row r="328" spans="1:7" ht="31.5">
      <c r="A328" s="9" t="s">
        <v>19</v>
      </c>
      <c r="B328" s="22" t="s">
        <v>190</v>
      </c>
      <c r="C328" s="122">
        <v>2630120510</v>
      </c>
      <c r="D328" s="98">
        <v>240</v>
      </c>
      <c r="E328" s="99" t="s">
        <v>216</v>
      </c>
      <c r="F328" s="21">
        <v>150</v>
      </c>
      <c r="G328" s="21">
        <v>33.1</v>
      </c>
    </row>
    <row r="329" spans="1:7">
      <c r="A329" s="9" t="s">
        <v>19</v>
      </c>
      <c r="B329" s="98" t="s">
        <v>38</v>
      </c>
      <c r="C329" s="98" t="s">
        <v>64</v>
      </c>
      <c r="D329" s="98" t="s">
        <v>64</v>
      </c>
      <c r="E329" s="99" t="s">
        <v>94</v>
      </c>
      <c r="F329" s="21">
        <f>F340+F330</f>
        <v>135.6</v>
      </c>
      <c r="G329" s="21">
        <f>G340+G330</f>
        <v>135.39999999999998</v>
      </c>
    </row>
    <row r="330" spans="1:7" ht="36" customHeight="1">
      <c r="A330" s="9" t="s">
        <v>19</v>
      </c>
      <c r="B330" s="98" t="s">
        <v>38</v>
      </c>
      <c r="C330" s="100">
        <v>2100000000</v>
      </c>
      <c r="D330" s="98"/>
      <c r="E330" s="99" t="s">
        <v>313</v>
      </c>
      <c r="F330" s="21">
        <f>F331</f>
        <v>85.5</v>
      </c>
      <c r="G330" s="21">
        <f>G331</f>
        <v>85.399999999999991</v>
      </c>
    </row>
    <row r="331" spans="1:7" ht="31.5">
      <c r="A331" s="9" t="s">
        <v>19</v>
      </c>
      <c r="B331" s="98" t="s">
        <v>38</v>
      </c>
      <c r="C331" s="100">
        <v>2130000000</v>
      </c>
      <c r="D331" s="98"/>
      <c r="E331" s="99" t="s">
        <v>109</v>
      </c>
      <c r="F331" s="21">
        <f>F336+F332</f>
        <v>85.5</v>
      </c>
      <c r="G331" s="21">
        <f>G336+G332</f>
        <v>85.399999999999991</v>
      </c>
    </row>
    <row r="332" spans="1:7" ht="31.5">
      <c r="A332" s="9" t="s">
        <v>19</v>
      </c>
      <c r="B332" s="98" t="s">
        <v>38</v>
      </c>
      <c r="C332" s="98">
        <v>2130200000</v>
      </c>
      <c r="D332" s="98"/>
      <c r="E332" s="99" t="s">
        <v>165</v>
      </c>
      <c r="F332" s="21">
        <f>F333</f>
        <v>15.7</v>
      </c>
      <c r="G332" s="21">
        <f t="shared" ref="G332:G334" si="99">G333</f>
        <v>15.6</v>
      </c>
    </row>
    <row r="333" spans="1:7" ht="31.5">
      <c r="A333" s="9" t="s">
        <v>19</v>
      </c>
      <c r="B333" s="98" t="s">
        <v>38</v>
      </c>
      <c r="C333" s="98">
        <v>2130220270</v>
      </c>
      <c r="D333" s="98"/>
      <c r="E333" s="99" t="s">
        <v>166</v>
      </c>
      <c r="F333" s="21">
        <f>F334</f>
        <v>15.7</v>
      </c>
      <c r="G333" s="21">
        <f t="shared" si="99"/>
        <v>15.6</v>
      </c>
    </row>
    <row r="334" spans="1:7">
      <c r="A334" s="9" t="s">
        <v>19</v>
      </c>
      <c r="B334" s="98" t="s">
        <v>38</v>
      </c>
      <c r="C334" s="98">
        <v>2130220270</v>
      </c>
      <c r="D334" s="100" t="s">
        <v>71</v>
      </c>
      <c r="E334" s="99" t="s">
        <v>72</v>
      </c>
      <c r="F334" s="21">
        <f>F335</f>
        <v>15.7</v>
      </c>
      <c r="G334" s="21">
        <f t="shared" si="99"/>
        <v>15.6</v>
      </c>
    </row>
    <row r="335" spans="1:7">
      <c r="A335" s="9" t="s">
        <v>19</v>
      </c>
      <c r="B335" s="98" t="s">
        <v>38</v>
      </c>
      <c r="C335" s="98">
        <v>2130220270</v>
      </c>
      <c r="D335" s="98">
        <v>350</v>
      </c>
      <c r="E335" s="99" t="s">
        <v>144</v>
      </c>
      <c r="F335" s="21">
        <v>15.7</v>
      </c>
      <c r="G335" s="21">
        <v>15.6</v>
      </c>
    </row>
    <row r="336" spans="1:7" ht="31.5">
      <c r="A336" s="9" t="s">
        <v>19</v>
      </c>
      <c r="B336" s="98" t="s">
        <v>38</v>
      </c>
      <c r="C336" s="98">
        <v>2130400000</v>
      </c>
      <c r="D336" s="98"/>
      <c r="E336" s="99" t="s">
        <v>131</v>
      </c>
      <c r="F336" s="21">
        <f>F337</f>
        <v>69.8</v>
      </c>
      <c r="G336" s="21">
        <f t="shared" ref="G336:G338" si="100">G337</f>
        <v>69.8</v>
      </c>
    </row>
    <row r="337" spans="1:7" ht="31.5">
      <c r="A337" s="9" t="s">
        <v>19</v>
      </c>
      <c r="B337" s="98" t="s">
        <v>38</v>
      </c>
      <c r="C337" s="98">
        <v>2130420290</v>
      </c>
      <c r="D337" s="98"/>
      <c r="E337" s="99" t="s">
        <v>132</v>
      </c>
      <c r="F337" s="21">
        <f>F338</f>
        <v>69.8</v>
      </c>
      <c r="G337" s="21">
        <f t="shared" si="100"/>
        <v>69.8</v>
      </c>
    </row>
    <row r="338" spans="1:7" ht="31.5">
      <c r="A338" s="9" t="s">
        <v>19</v>
      </c>
      <c r="B338" s="98" t="s">
        <v>38</v>
      </c>
      <c r="C338" s="98">
        <v>2130420290</v>
      </c>
      <c r="D338" s="100" t="s">
        <v>67</v>
      </c>
      <c r="E338" s="99" t="s">
        <v>90</v>
      </c>
      <c r="F338" s="21">
        <f>F339</f>
        <v>69.8</v>
      </c>
      <c r="G338" s="21">
        <f t="shared" si="100"/>
        <v>69.8</v>
      </c>
    </row>
    <row r="339" spans="1:7" ht="31.5">
      <c r="A339" s="9" t="s">
        <v>19</v>
      </c>
      <c r="B339" s="98" t="s">
        <v>38</v>
      </c>
      <c r="C339" s="98">
        <v>2130420290</v>
      </c>
      <c r="D339" s="100">
        <v>240</v>
      </c>
      <c r="E339" s="99" t="s">
        <v>216</v>
      </c>
      <c r="F339" s="21">
        <v>69.8</v>
      </c>
      <c r="G339" s="21">
        <v>69.8</v>
      </c>
    </row>
    <row r="340" spans="1:7" ht="47.25">
      <c r="A340" s="9" t="s">
        <v>19</v>
      </c>
      <c r="B340" s="98" t="s">
        <v>38</v>
      </c>
      <c r="C340" s="100">
        <v>2200000000</v>
      </c>
      <c r="D340" s="98"/>
      <c r="E340" s="99" t="s">
        <v>311</v>
      </c>
      <c r="F340" s="21">
        <f>F341</f>
        <v>50.1</v>
      </c>
      <c r="G340" s="21">
        <f t="shared" ref="G340:G341" si="101">G341</f>
        <v>50</v>
      </c>
    </row>
    <row r="341" spans="1:7" ht="31.5">
      <c r="A341" s="9" t="s">
        <v>19</v>
      </c>
      <c r="B341" s="98" t="s">
        <v>38</v>
      </c>
      <c r="C341" s="100">
        <v>2240000000</v>
      </c>
      <c r="D341" s="10"/>
      <c r="E341" s="99" t="s">
        <v>127</v>
      </c>
      <c r="F341" s="21">
        <f>F342</f>
        <v>50.1</v>
      </c>
      <c r="G341" s="21">
        <f t="shared" si="101"/>
        <v>50</v>
      </c>
    </row>
    <row r="342" spans="1:7" ht="31.5">
      <c r="A342" s="9" t="s">
        <v>19</v>
      </c>
      <c r="B342" s="98" t="s">
        <v>38</v>
      </c>
      <c r="C342" s="10" t="s">
        <v>299</v>
      </c>
      <c r="D342" s="10"/>
      <c r="E342" s="99" t="s">
        <v>131</v>
      </c>
      <c r="F342" s="21">
        <f>F343+F346</f>
        <v>50.1</v>
      </c>
      <c r="G342" s="21">
        <f>G343+G346</f>
        <v>50</v>
      </c>
    </row>
    <row r="343" spans="1:7" ht="31.5">
      <c r="A343" s="9" t="s">
        <v>19</v>
      </c>
      <c r="B343" s="98" t="s">
        <v>38</v>
      </c>
      <c r="C343" s="10" t="s">
        <v>300</v>
      </c>
      <c r="D343" s="10"/>
      <c r="E343" s="99" t="s">
        <v>129</v>
      </c>
      <c r="F343" s="21">
        <f t="shared" ref="F343:G344" si="102">F344</f>
        <v>14.1</v>
      </c>
      <c r="G343" s="21">
        <f t="shared" si="102"/>
        <v>14</v>
      </c>
    </row>
    <row r="344" spans="1:7" ht="31.5">
      <c r="A344" s="9" t="s">
        <v>19</v>
      </c>
      <c r="B344" s="98" t="s">
        <v>38</v>
      </c>
      <c r="C344" s="10" t="s">
        <v>300</v>
      </c>
      <c r="D344" s="100" t="s">
        <v>67</v>
      </c>
      <c r="E344" s="99" t="s">
        <v>90</v>
      </c>
      <c r="F344" s="21">
        <f t="shared" si="102"/>
        <v>14.1</v>
      </c>
      <c r="G344" s="21">
        <f t="shared" si="102"/>
        <v>14</v>
      </c>
    </row>
    <row r="345" spans="1:7" ht="31.5">
      <c r="A345" s="9" t="s">
        <v>19</v>
      </c>
      <c r="B345" s="98" t="s">
        <v>38</v>
      </c>
      <c r="C345" s="10" t="s">
        <v>300</v>
      </c>
      <c r="D345" s="98">
        <v>240</v>
      </c>
      <c r="E345" s="99" t="s">
        <v>216</v>
      </c>
      <c r="F345" s="21">
        <v>14.1</v>
      </c>
      <c r="G345" s="21">
        <v>14</v>
      </c>
    </row>
    <row r="346" spans="1:7">
      <c r="A346" s="9" t="s">
        <v>19</v>
      </c>
      <c r="B346" s="98" t="s">
        <v>38</v>
      </c>
      <c r="C346" s="10" t="s">
        <v>301</v>
      </c>
      <c r="D346" s="10"/>
      <c r="E346" s="99" t="s">
        <v>130</v>
      </c>
      <c r="F346" s="21">
        <f t="shared" ref="F346:G347" si="103">F347</f>
        <v>36</v>
      </c>
      <c r="G346" s="21">
        <f t="shared" si="103"/>
        <v>36</v>
      </c>
    </row>
    <row r="347" spans="1:7">
      <c r="A347" s="9" t="s">
        <v>19</v>
      </c>
      <c r="B347" s="98" t="s">
        <v>38</v>
      </c>
      <c r="C347" s="10" t="s">
        <v>301</v>
      </c>
      <c r="D347" s="100" t="s">
        <v>71</v>
      </c>
      <c r="E347" s="99" t="s">
        <v>72</v>
      </c>
      <c r="F347" s="21">
        <f t="shared" si="103"/>
        <v>36</v>
      </c>
      <c r="G347" s="21">
        <f t="shared" si="103"/>
        <v>36</v>
      </c>
    </row>
    <row r="348" spans="1:7" ht="31.5">
      <c r="A348" s="9" t="s">
        <v>19</v>
      </c>
      <c r="B348" s="98" t="s">
        <v>38</v>
      </c>
      <c r="C348" s="10" t="s">
        <v>301</v>
      </c>
      <c r="D348" s="10" t="s">
        <v>335</v>
      </c>
      <c r="E348" s="99" t="s">
        <v>336</v>
      </c>
      <c r="F348" s="21">
        <v>36</v>
      </c>
      <c r="G348" s="21">
        <v>36</v>
      </c>
    </row>
    <row r="349" spans="1:7">
      <c r="A349" s="98" t="s">
        <v>19</v>
      </c>
      <c r="B349" s="98" t="s">
        <v>41</v>
      </c>
      <c r="C349" s="98" t="s">
        <v>64</v>
      </c>
      <c r="D349" s="98" t="s">
        <v>64</v>
      </c>
      <c r="E349" s="42" t="s">
        <v>80</v>
      </c>
      <c r="F349" s="21">
        <f>F350</f>
        <v>56287.499999999993</v>
      </c>
      <c r="G349" s="21">
        <f>G350</f>
        <v>55324.899999999994</v>
      </c>
    </row>
    <row r="350" spans="1:7">
      <c r="A350" s="98" t="s">
        <v>19</v>
      </c>
      <c r="B350" s="98" t="s">
        <v>42</v>
      </c>
      <c r="C350" s="98" t="s">
        <v>64</v>
      </c>
      <c r="D350" s="98" t="s">
        <v>64</v>
      </c>
      <c r="E350" s="99" t="s">
        <v>13</v>
      </c>
      <c r="F350" s="21">
        <f>F357+F399+F351+F417</f>
        <v>56287.499999999993</v>
      </c>
      <c r="G350" s="21">
        <f>G357+G399+G351+G417</f>
        <v>55324.899999999994</v>
      </c>
    </row>
    <row r="351" spans="1:7" ht="47.25">
      <c r="A351" s="123" t="s">
        <v>19</v>
      </c>
      <c r="B351" s="123" t="s">
        <v>42</v>
      </c>
      <c r="C351" s="122">
        <v>2100000000</v>
      </c>
      <c r="D351" s="24"/>
      <c r="E351" s="124" t="s">
        <v>313</v>
      </c>
      <c r="F351" s="21">
        <f>F352</f>
        <v>470.70000000000005</v>
      </c>
      <c r="G351" s="21">
        <f t="shared" ref="G351:G355" si="104">G352</f>
        <v>469.6</v>
      </c>
    </row>
    <row r="352" spans="1:7" ht="31.5">
      <c r="A352" s="123" t="s">
        <v>19</v>
      </c>
      <c r="B352" s="123" t="s">
        <v>42</v>
      </c>
      <c r="C352" s="122">
        <v>2130000000</v>
      </c>
      <c r="D352" s="24"/>
      <c r="E352" s="124" t="s">
        <v>109</v>
      </c>
      <c r="F352" s="21">
        <f>F353</f>
        <v>470.70000000000005</v>
      </c>
      <c r="G352" s="21">
        <f t="shared" si="104"/>
        <v>469.6</v>
      </c>
    </row>
    <row r="353" spans="1:7" ht="47.25">
      <c r="A353" s="123" t="s">
        <v>19</v>
      </c>
      <c r="B353" s="123" t="s">
        <v>42</v>
      </c>
      <c r="C353" s="122">
        <v>2130300000</v>
      </c>
      <c r="D353" s="24"/>
      <c r="E353" s="124" t="s">
        <v>110</v>
      </c>
      <c r="F353" s="21">
        <f>F354</f>
        <v>470.70000000000005</v>
      </c>
      <c r="G353" s="21">
        <f t="shared" si="104"/>
        <v>469.6</v>
      </c>
    </row>
    <row r="354" spans="1:7" ht="31.5">
      <c r="A354" s="123" t="s">
        <v>19</v>
      </c>
      <c r="B354" s="123" t="s">
        <v>42</v>
      </c>
      <c r="C354" s="122">
        <v>2130320280</v>
      </c>
      <c r="D354" s="24"/>
      <c r="E354" s="124" t="s">
        <v>111</v>
      </c>
      <c r="F354" s="21">
        <f>F355</f>
        <v>470.70000000000005</v>
      </c>
      <c r="G354" s="21">
        <f t="shared" si="104"/>
        <v>469.6</v>
      </c>
    </row>
    <row r="355" spans="1:7" ht="31.5">
      <c r="A355" s="123" t="s">
        <v>19</v>
      </c>
      <c r="B355" s="123" t="s">
        <v>42</v>
      </c>
      <c r="C355" s="122">
        <v>2130320280</v>
      </c>
      <c r="D355" s="122" t="s">
        <v>92</v>
      </c>
      <c r="E355" s="124" t="s">
        <v>93</v>
      </c>
      <c r="F355" s="21">
        <f>F356</f>
        <v>470.70000000000005</v>
      </c>
      <c r="G355" s="21">
        <f t="shared" si="104"/>
        <v>469.6</v>
      </c>
    </row>
    <row r="356" spans="1:7">
      <c r="A356" s="123" t="s">
        <v>19</v>
      </c>
      <c r="B356" s="123" t="s">
        <v>42</v>
      </c>
      <c r="C356" s="122">
        <v>2130320280</v>
      </c>
      <c r="D356" s="123">
        <v>610</v>
      </c>
      <c r="E356" s="124" t="s">
        <v>99</v>
      </c>
      <c r="F356" s="21">
        <f>218.9+251.8</f>
        <v>470.70000000000005</v>
      </c>
      <c r="G356" s="21">
        <v>469.6</v>
      </c>
    </row>
    <row r="357" spans="1:7" ht="47.25">
      <c r="A357" s="98" t="s">
        <v>19</v>
      </c>
      <c r="B357" s="98" t="s">
        <v>42</v>
      </c>
      <c r="C357" s="100">
        <v>2200000000</v>
      </c>
      <c r="D357" s="98"/>
      <c r="E357" s="99" t="s">
        <v>311</v>
      </c>
      <c r="F357" s="21">
        <f>F358+F376</f>
        <v>53296.899999999994</v>
      </c>
      <c r="G357" s="21">
        <f>G358+G376</f>
        <v>52480.6</v>
      </c>
    </row>
    <row r="358" spans="1:7" ht="31.5">
      <c r="A358" s="98" t="s">
        <v>19</v>
      </c>
      <c r="B358" s="98" t="s">
        <v>42</v>
      </c>
      <c r="C358" s="100">
        <v>2210000000</v>
      </c>
      <c r="D358" s="98"/>
      <c r="E358" s="99" t="s">
        <v>175</v>
      </c>
      <c r="F358" s="21">
        <f>F359+F369</f>
        <v>17070.5</v>
      </c>
      <c r="G358" s="21">
        <f>G359+G369</f>
        <v>17070.5</v>
      </c>
    </row>
    <row r="359" spans="1:7" ht="31.5">
      <c r="A359" s="98" t="s">
        <v>19</v>
      </c>
      <c r="B359" s="98" t="s">
        <v>42</v>
      </c>
      <c r="C359" s="100">
        <v>2210100000</v>
      </c>
      <c r="D359" s="98"/>
      <c r="E359" s="99" t="s">
        <v>176</v>
      </c>
      <c r="F359" s="21">
        <f>F363+F360+F366</f>
        <v>16790.5</v>
      </c>
      <c r="G359" s="21">
        <f>G363+G360+G366</f>
        <v>16790.5</v>
      </c>
    </row>
    <row r="360" spans="1:7" ht="47.25">
      <c r="A360" s="98" t="s">
        <v>19</v>
      </c>
      <c r="B360" s="98" t="s">
        <v>42</v>
      </c>
      <c r="C360" s="100">
        <v>2210110680</v>
      </c>
      <c r="D360" s="98"/>
      <c r="E360" s="62" t="s">
        <v>231</v>
      </c>
      <c r="F360" s="21">
        <f t="shared" ref="F360:G361" si="105">F361</f>
        <v>8599.9</v>
      </c>
      <c r="G360" s="21">
        <f t="shared" si="105"/>
        <v>8599.9</v>
      </c>
    </row>
    <row r="361" spans="1:7" ht="31.5">
      <c r="A361" s="98" t="s">
        <v>19</v>
      </c>
      <c r="B361" s="98" t="s">
        <v>42</v>
      </c>
      <c r="C361" s="100">
        <v>2210110680</v>
      </c>
      <c r="D361" s="100" t="s">
        <v>92</v>
      </c>
      <c r="E361" s="56" t="s">
        <v>93</v>
      </c>
      <c r="F361" s="21">
        <f t="shared" si="105"/>
        <v>8599.9</v>
      </c>
      <c r="G361" s="21">
        <f t="shared" si="105"/>
        <v>8599.9</v>
      </c>
    </row>
    <row r="362" spans="1:7">
      <c r="A362" s="98" t="s">
        <v>19</v>
      </c>
      <c r="B362" s="98" t="s">
        <v>42</v>
      </c>
      <c r="C362" s="100">
        <v>2210110680</v>
      </c>
      <c r="D362" s="98">
        <v>610</v>
      </c>
      <c r="E362" s="56" t="s">
        <v>99</v>
      </c>
      <c r="F362" s="21">
        <f>5601+739.9+2259</f>
        <v>8599.9</v>
      </c>
      <c r="G362" s="21">
        <v>8599.9</v>
      </c>
    </row>
    <row r="363" spans="1:7" ht="31.5">
      <c r="A363" s="98" t="s">
        <v>19</v>
      </c>
      <c r="B363" s="98" t="s">
        <v>42</v>
      </c>
      <c r="C363" s="100">
        <v>2210120010</v>
      </c>
      <c r="D363" s="98"/>
      <c r="E363" s="99" t="s">
        <v>118</v>
      </c>
      <c r="F363" s="21">
        <f t="shared" ref="F363:G364" si="106">F364</f>
        <v>8103.6</v>
      </c>
      <c r="G363" s="21">
        <f t="shared" si="106"/>
        <v>8103.6</v>
      </c>
    </row>
    <row r="364" spans="1:7" ht="31.5">
      <c r="A364" s="98" t="s">
        <v>19</v>
      </c>
      <c r="B364" s="98" t="s">
        <v>42</v>
      </c>
      <c r="C364" s="100">
        <v>2210120010</v>
      </c>
      <c r="D364" s="100" t="s">
        <v>92</v>
      </c>
      <c r="E364" s="99" t="s">
        <v>93</v>
      </c>
      <c r="F364" s="21">
        <f t="shared" si="106"/>
        <v>8103.6</v>
      </c>
      <c r="G364" s="21">
        <f t="shared" si="106"/>
        <v>8103.6</v>
      </c>
    </row>
    <row r="365" spans="1:7">
      <c r="A365" s="98" t="s">
        <v>19</v>
      </c>
      <c r="B365" s="98" t="s">
        <v>42</v>
      </c>
      <c r="C365" s="100">
        <v>2210120010</v>
      </c>
      <c r="D365" s="98">
        <v>610</v>
      </c>
      <c r="E365" s="99" t="s">
        <v>99</v>
      </c>
      <c r="F365" s="21">
        <f>8080.8-7.5+53.2-22.9</f>
        <v>8103.6</v>
      </c>
      <c r="G365" s="21">
        <v>8103.6</v>
      </c>
    </row>
    <row r="366" spans="1:7" ht="47.25">
      <c r="A366" s="98" t="s">
        <v>19</v>
      </c>
      <c r="B366" s="98" t="s">
        <v>42</v>
      </c>
      <c r="C366" s="100" t="s">
        <v>302</v>
      </c>
      <c r="D366" s="98"/>
      <c r="E366" s="62" t="s">
        <v>240</v>
      </c>
      <c r="F366" s="21">
        <f t="shared" ref="F366:G367" si="107">F367</f>
        <v>87</v>
      </c>
      <c r="G366" s="21">
        <f t="shared" si="107"/>
        <v>87</v>
      </c>
    </row>
    <row r="367" spans="1:7" ht="31.5">
      <c r="A367" s="98" t="s">
        <v>19</v>
      </c>
      <c r="B367" s="98" t="s">
        <v>42</v>
      </c>
      <c r="C367" s="100" t="s">
        <v>302</v>
      </c>
      <c r="D367" s="100" t="s">
        <v>92</v>
      </c>
      <c r="E367" s="56" t="s">
        <v>93</v>
      </c>
      <c r="F367" s="21">
        <f t="shared" si="107"/>
        <v>87</v>
      </c>
      <c r="G367" s="21">
        <f t="shared" si="107"/>
        <v>87</v>
      </c>
    </row>
    <row r="368" spans="1:7">
      <c r="A368" s="98" t="s">
        <v>19</v>
      </c>
      <c r="B368" s="98" t="s">
        <v>42</v>
      </c>
      <c r="C368" s="100" t="s">
        <v>302</v>
      </c>
      <c r="D368" s="98">
        <v>610</v>
      </c>
      <c r="E368" s="56" t="s">
        <v>99</v>
      </c>
      <c r="F368" s="21">
        <f>56.6+7.5+22.9</f>
        <v>87</v>
      </c>
      <c r="G368" s="21">
        <v>87</v>
      </c>
    </row>
    <row r="369" spans="1:7" ht="31.5">
      <c r="A369" s="98" t="s">
        <v>19</v>
      </c>
      <c r="B369" s="98" t="s">
        <v>42</v>
      </c>
      <c r="C369" s="128">
        <v>2210200000</v>
      </c>
      <c r="D369" s="98"/>
      <c r="E369" s="99" t="s">
        <v>177</v>
      </c>
      <c r="F369" s="21">
        <f>F370+F373</f>
        <v>280</v>
      </c>
      <c r="G369" s="21">
        <f t="shared" ref="G369" si="108">G370+G373</f>
        <v>280</v>
      </c>
    </row>
    <row r="370" spans="1:7">
      <c r="A370" s="116" t="s">
        <v>19</v>
      </c>
      <c r="B370" s="116" t="s">
        <v>42</v>
      </c>
      <c r="C370" s="150">
        <v>2210220010</v>
      </c>
      <c r="D370" s="116"/>
      <c r="E370" s="152" t="s">
        <v>348</v>
      </c>
      <c r="F370" s="21">
        <f t="shared" ref="F370:G371" si="109">F371</f>
        <v>40</v>
      </c>
      <c r="G370" s="21">
        <f t="shared" si="109"/>
        <v>40</v>
      </c>
    </row>
    <row r="371" spans="1:7" ht="31.5">
      <c r="A371" s="116" t="s">
        <v>19</v>
      </c>
      <c r="B371" s="116" t="s">
        <v>42</v>
      </c>
      <c r="C371" s="150">
        <v>2210220010</v>
      </c>
      <c r="D371" s="118" t="s">
        <v>92</v>
      </c>
      <c r="E371" s="117" t="s">
        <v>93</v>
      </c>
      <c r="F371" s="21">
        <f t="shared" si="109"/>
        <v>40</v>
      </c>
      <c r="G371" s="21">
        <f t="shared" si="109"/>
        <v>40</v>
      </c>
    </row>
    <row r="372" spans="1:7">
      <c r="A372" s="116" t="s">
        <v>19</v>
      </c>
      <c r="B372" s="116" t="s">
        <v>42</v>
      </c>
      <c r="C372" s="150">
        <v>2210220010</v>
      </c>
      <c r="D372" s="116">
        <v>610</v>
      </c>
      <c r="E372" s="117" t="s">
        <v>99</v>
      </c>
      <c r="F372" s="21">
        <f>80-40</f>
        <v>40</v>
      </c>
      <c r="G372" s="21">
        <v>40</v>
      </c>
    </row>
    <row r="373" spans="1:7" ht="63">
      <c r="A373" s="182" t="s">
        <v>19</v>
      </c>
      <c r="B373" s="182" t="s">
        <v>42</v>
      </c>
      <c r="C373" s="181" t="s">
        <v>378</v>
      </c>
      <c r="D373" s="182"/>
      <c r="E373" s="183" t="s">
        <v>377</v>
      </c>
      <c r="F373" s="21">
        <f>F374</f>
        <v>240</v>
      </c>
      <c r="G373" s="21">
        <f t="shared" ref="G373:G374" si="110">G374</f>
        <v>240</v>
      </c>
    </row>
    <row r="374" spans="1:7" ht="31.5">
      <c r="A374" s="182" t="s">
        <v>19</v>
      </c>
      <c r="B374" s="182" t="s">
        <v>42</v>
      </c>
      <c r="C374" s="181" t="s">
        <v>378</v>
      </c>
      <c r="D374" s="181" t="s">
        <v>92</v>
      </c>
      <c r="E374" s="183" t="s">
        <v>93</v>
      </c>
      <c r="F374" s="21">
        <f>F375</f>
        <v>240</v>
      </c>
      <c r="G374" s="21">
        <f t="shared" si="110"/>
        <v>240</v>
      </c>
    </row>
    <row r="375" spans="1:7">
      <c r="A375" s="182" t="s">
        <v>19</v>
      </c>
      <c r="B375" s="182" t="s">
        <v>42</v>
      </c>
      <c r="C375" s="181" t="s">
        <v>378</v>
      </c>
      <c r="D375" s="182">
        <v>610</v>
      </c>
      <c r="E375" s="183" t="s">
        <v>99</v>
      </c>
      <c r="F375" s="21">
        <f>40+200</f>
        <v>240</v>
      </c>
      <c r="G375" s="21">
        <v>240</v>
      </c>
    </row>
    <row r="376" spans="1:7" ht="31.5">
      <c r="A376" s="98" t="s">
        <v>19</v>
      </c>
      <c r="B376" s="98" t="s">
        <v>42</v>
      </c>
      <c r="C376" s="100">
        <v>2220000000</v>
      </c>
      <c r="D376" s="98"/>
      <c r="E376" s="99" t="s">
        <v>133</v>
      </c>
      <c r="F376" s="21">
        <f>F377+F387+F391+F395</f>
        <v>36226.399999999994</v>
      </c>
      <c r="G376" s="21">
        <f t="shared" ref="G376" si="111">G377+G387+G391+G395</f>
        <v>35410.1</v>
      </c>
    </row>
    <row r="377" spans="1:7" ht="34.5" customHeight="1">
      <c r="A377" s="98" t="s">
        <v>19</v>
      </c>
      <c r="B377" s="98" t="s">
        <v>42</v>
      </c>
      <c r="C377" s="98">
        <v>2220100000</v>
      </c>
      <c r="D377" s="98"/>
      <c r="E377" s="99" t="s">
        <v>178</v>
      </c>
      <c r="F377" s="21">
        <f>F381+F378+F384</f>
        <v>32486.6</v>
      </c>
      <c r="G377" s="21">
        <f>G381+G378+G384</f>
        <v>32486.600000000002</v>
      </c>
    </row>
    <row r="378" spans="1:7" ht="47.25">
      <c r="A378" s="98" t="s">
        <v>19</v>
      </c>
      <c r="B378" s="98" t="s">
        <v>42</v>
      </c>
      <c r="C378" s="98">
        <v>2220110680</v>
      </c>
      <c r="D378" s="98"/>
      <c r="E378" s="62" t="s">
        <v>231</v>
      </c>
      <c r="F378" s="21">
        <f t="shared" ref="F378:G379" si="112">F379</f>
        <v>17134.400000000001</v>
      </c>
      <c r="G378" s="21">
        <f t="shared" si="112"/>
        <v>17134.400000000001</v>
      </c>
    </row>
    <row r="379" spans="1:7" ht="31.5">
      <c r="A379" s="98" t="s">
        <v>19</v>
      </c>
      <c r="B379" s="98" t="s">
        <v>42</v>
      </c>
      <c r="C379" s="98">
        <v>2220110680</v>
      </c>
      <c r="D379" s="100" t="s">
        <v>92</v>
      </c>
      <c r="E379" s="56" t="s">
        <v>93</v>
      </c>
      <c r="F379" s="21">
        <f t="shared" si="112"/>
        <v>17134.400000000001</v>
      </c>
      <c r="G379" s="21">
        <f t="shared" si="112"/>
        <v>17134.400000000001</v>
      </c>
    </row>
    <row r="380" spans="1:7">
      <c r="A380" s="98" t="s">
        <v>19</v>
      </c>
      <c r="B380" s="98" t="s">
        <v>42</v>
      </c>
      <c r="C380" s="98">
        <v>2220110680</v>
      </c>
      <c r="D380" s="98">
        <v>610</v>
      </c>
      <c r="E380" s="56" t="s">
        <v>99</v>
      </c>
      <c r="F380" s="21">
        <f>11139.8+1753.5+4241.1</f>
        <v>17134.400000000001</v>
      </c>
      <c r="G380" s="21">
        <v>17134.400000000001</v>
      </c>
    </row>
    <row r="381" spans="1:7" ht="31.5">
      <c r="A381" s="98" t="s">
        <v>19</v>
      </c>
      <c r="B381" s="98" t="s">
        <v>42</v>
      </c>
      <c r="C381" s="98">
        <v>2220120010</v>
      </c>
      <c r="D381" s="98"/>
      <c r="E381" s="99" t="s">
        <v>118</v>
      </c>
      <c r="F381" s="21">
        <f t="shared" ref="F381:G382" si="113">F382</f>
        <v>15179.199999999999</v>
      </c>
      <c r="G381" s="21">
        <f t="shared" si="113"/>
        <v>15179.2</v>
      </c>
    </row>
    <row r="382" spans="1:7" ht="31.5">
      <c r="A382" s="98" t="s">
        <v>19</v>
      </c>
      <c r="B382" s="98" t="s">
        <v>42</v>
      </c>
      <c r="C382" s="98">
        <v>2220120010</v>
      </c>
      <c r="D382" s="100" t="s">
        <v>92</v>
      </c>
      <c r="E382" s="99" t="s">
        <v>93</v>
      </c>
      <c r="F382" s="21">
        <f t="shared" si="113"/>
        <v>15179.199999999999</v>
      </c>
      <c r="G382" s="21">
        <f t="shared" si="113"/>
        <v>15179.2</v>
      </c>
    </row>
    <row r="383" spans="1:7">
      <c r="A383" s="98" t="s">
        <v>19</v>
      </c>
      <c r="B383" s="98" t="s">
        <v>42</v>
      </c>
      <c r="C383" s="98">
        <v>2220120010</v>
      </c>
      <c r="D383" s="98">
        <v>610</v>
      </c>
      <c r="E383" s="99" t="s">
        <v>99</v>
      </c>
      <c r="F383" s="21">
        <f>15058.3-17.6+132.5+48.8-42.8</f>
        <v>15179.199999999999</v>
      </c>
      <c r="G383" s="21">
        <v>15179.2</v>
      </c>
    </row>
    <row r="384" spans="1:7" ht="47.25">
      <c r="A384" s="98" t="s">
        <v>19</v>
      </c>
      <c r="B384" s="98" t="s">
        <v>42</v>
      </c>
      <c r="C384" s="98" t="s">
        <v>303</v>
      </c>
      <c r="D384" s="98"/>
      <c r="E384" s="62" t="s">
        <v>240</v>
      </c>
      <c r="F384" s="21">
        <f t="shared" ref="F384:G385" si="114">F385</f>
        <v>173</v>
      </c>
      <c r="G384" s="21">
        <f t="shared" si="114"/>
        <v>173</v>
      </c>
    </row>
    <row r="385" spans="1:7" ht="31.5">
      <c r="A385" s="98" t="s">
        <v>19</v>
      </c>
      <c r="B385" s="98" t="s">
        <v>42</v>
      </c>
      <c r="C385" s="98" t="s">
        <v>303</v>
      </c>
      <c r="D385" s="100" t="s">
        <v>92</v>
      </c>
      <c r="E385" s="56" t="s">
        <v>93</v>
      </c>
      <c r="F385" s="21">
        <f t="shared" si="114"/>
        <v>173</v>
      </c>
      <c r="G385" s="21">
        <f t="shared" si="114"/>
        <v>173</v>
      </c>
    </row>
    <row r="386" spans="1:7">
      <c r="A386" s="98" t="s">
        <v>19</v>
      </c>
      <c r="B386" s="98" t="s">
        <v>42</v>
      </c>
      <c r="C386" s="98" t="s">
        <v>303</v>
      </c>
      <c r="D386" s="98">
        <v>610</v>
      </c>
      <c r="E386" s="56" t="s">
        <v>99</v>
      </c>
      <c r="F386" s="21">
        <f>112.6+17.6+42.8</f>
        <v>173</v>
      </c>
      <c r="G386" s="21">
        <v>173</v>
      </c>
    </row>
    <row r="387" spans="1:7" ht="31.5">
      <c r="A387" s="98" t="s">
        <v>19</v>
      </c>
      <c r="B387" s="98" t="s">
        <v>42</v>
      </c>
      <c r="C387" s="129">
        <v>2220200000</v>
      </c>
      <c r="D387" s="98"/>
      <c r="E387" s="99" t="s">
        <v>179</v>
      </c>
      <c r="F387" s="21">
        <f>F388</f>
        <v>2677</v>
      </c>
      <c r="G387" s="21">
        <f t="shared" ref="G387:G389" si="115">G388</f>
        <v>1860.8</v>
      </c>
    </row>
    <row r="388" spans="1:7">
      <c r="A388" s="98" t="s">
        <v>19</v>
      </c>
      <c r="B388" s="98" t="s">
        <v>42</v>
      </c>
      <c r="C388" s="129">
        <v>2220220320</v>
      </c>
      <c r="D388" s="98"/>
      <c r="E388" s="99" t="s">
        <v>134</v>
      </c>
      <c r="F388" s="21">
        <f>F389</f>
        <v>2677</v>
      </c>
      <c r="G388" s="21">
        <f t="shared" si="115"/>
        <v>1860.8</v>
      </c>
    </row>
    <row r="389" spans="1:7" ht="31.5">
      <c r="A389" s="98" t="s">
        <v>19</v>
      </c>
      <c r="B389" s="98" t="s">
        <v>42</v>
      </c>
      <c r="C389" s="129">
        <v>2220220320</v>
      </c>
      <c r="D389" s="100" t="s">
        <v>92</v>
      </c>
      <c r="E389" s="99" t="s">
        <v>93</v>
      </c>
      <c r="F389" s="21">
        <f>F390</f>
        <v>2677</v>
      </c>
      <c r="G389" s="21">
        <f t="shared" si="115"/>
        <v>1860.8</v>
      </c>
    </row>
    <row r="390" spans="1:7">
      <c r="A390" s="98" t="s">
        <v>19</v>
      </c>
      <c r="B390" s="98" t="s">
        <v>42</v>
      </c>
      <c r="C390" s="129">
        <v>2220220320</v>
      </c>
      <c r="D390" s="98">
        <v>610</v>
      </c>
      <c r="E390" s="99" t="s">
        <v>99</v>
      </c>
      <c r="F390" s="21">
        <f>870.8+1806.2</f>
        <v>2677</v>
      </c>
      <c r="G390" s="21">
        <v>1860.8</v>
      </c>
    </row>
    <row r="391" spans="1:7" ht="47.25">
      <c r="A391" s="123" t="s">
        <v>19</v>
      </c>
      <c r="B391" s="123" t="s">
        <v>42</v>
      </c>
      <c r="C391" s="123">
        <v>2220300000</v>
      </c>
      <c r="D391" s="123"/>
      <c r="E391" s="56" t="s">
        <v>322</v>
      </c>
      <c r="F391" s="21">
        <f>F392</f>
        <v>600.1</v>
      </c>
      <c r="G391" s="21">
        <f t="shared" ref="G391:G393" si="116">G392</f>
        <v>600</v>
      </c>
    </row>
    <row r="392" spans="1:7" ht="47.25">
      <c r="A392" s="123" t="s">
        <v>19</v>
      </c>
      <c r="B392" s="123" t="s">
        <v>42</v>
      </c>
      <c r="C392" s="123" t="s">
        <v>323</v>
      </c>
      <c r="D392" s="123"/>
      <c r="E392" s="56" t="s">
        <v>337</v>
      </c>
      <c r="F392" s="21">
        <f>F393</f>
        <v>600.1</v>
      </c>
      <c r="G392" s="21">
        <f t="shared" si="116"/>
        <v>600</v>
      </c>
    </row>
    <row r="393" spans="1:7" ht="31.5">
      <c r="A393" s="123" t="s">
        <v>19</v>
      </c>
      <c r="B393" s="123" t="s">
        <v>42</v>
      </c>
      <c r="C393" s="123" t="s">
        <v>323</v>
      </c>
      <c r="D393" s="122" t="s">
        <v>92</v>
      </c>
      <c r="E393" s="56" t="s">
        <v>93</v>
      </c>
      <c r="F393" s="21">
        <f>F394</f>
        <v>600.1</v>
      </c>
      <c r="G393" s="21">
        <f t="shared" si="116"/>
        <v>600</v>
      </c>
    </row>
    <row r="394" spans="1:7">
      <c r="A394" s="123" t="s">
        <v>19</v>
      </c>
      <c r="B394" s="123" t="s">
        <v>42</v>
      </c>
      <c r="C394" s="123" t="s">
        <v>323</v>
      </c>
      <c r="D394" s="123">
        <v>610</v>
      </c>
      <c r="E394" s="56" t="s">
        <v>99</v>
      </c>
      <c r="F394" s="21">
        <f>91.9+508.2</f>
        <v>600.1</v>
      </c>
      <c r="G394" s="21">
        <v>600</v>
      </c>
    </row>
    <row r="395" spans="1:7" ht="63">
      <c r="A395" s="202" t="s">
        <v>19</v>
      </c>
      <c r="B395" s="202" t="s">
        <v>42</v>
      </c>
      <c r="C395" s="202">
        <v>2220400000</v>
      </c>
      <c r="D395" s="202"/>
      <c r="E395" s="56" t="s">
        <v>394</v>
      </c>
      <c r="F395" s="21">
        <f>F396</f>
        <v>462.7</v>
      </c>
      <c r="G395" s="21">
        <f t="shared" ref="G395:G397" si="117">G396</f>
        <v>462.7</v>
      </c>
    </row>
    <row r="396" spans="1:7" ht="31.5">
      <c r="A396" s="202" t="s">
        <v>19</v>
      </c>
      <c r="B396" s="202" t="s">
        <v>42</v>
      </c>
      <c r="C396" s="202">
        <v>2220420020</v>
      </c>
      <c r="D396" s="202"/>
      <c r="E396" s="56" t="s">
        <v>358</v>
      </c>
      <c r="F396" s="21">
        <f>F397</f>
        <v>462.7</v>
      </c>
      <c r="G396" s="21">
        <f t="shared" si="117"/>
        <v>462.7</v>
      </c>
    </row>
    <row r="397" spans="1:7" ht="31.5">
      <c r="A397" s="202" t="s">
        <v>19</v>
      </c>
      <c r="B397" s="202" t="s">
        <v>42</v>
      </c>
      <c r="C397" s="202">
        <v>2220420020</v>
      </c>
      <c r="D397" s="201" t="s">
        <v>92</v>
      </c>
      <c r="E397" s="56" t="s">
        <v>93</v>
      </c>
      <c r="F397" s="21">
        <f>F398</f>
        <v>462.7</v>
      </c>
      <c r="G397" s="21">
        <f t="shared" si="117"/>
        <v>462.7</v>
      </c>
    </row>
    <row r="398" spans="1:7">
      <c r="A398" s="202" t="s">
        <v>19</v>
      </c>
      <c r="B398" s="202" t="s">
        <v>42</v>
      </c>
      <c r="C398" s="202">
        <v>2220420020</v>
      </c>
      <c r="D398" s="202">
        <v>610</v>
      </c>
      <c r="E398" s="56" t="s">
        <v>99</v>
      </c>
      <c r="F398" s="21">
        <v>462.7</v>
      </c>
      <c r="G398" s="21">
        <v>462.7</v>
      </c>
    </row>
    <row r="399" spans="1:7" ht="31.5">
      <c r="A399" s="98" t="s">
        <v>19</v>
      </c>
      <c r="B399" s="98" t="s">
        <v>42</v>
      </c>
      <c r="C399" s="100">
        <v>2500000000</v>
      </c>
      <c r="D399" s="98"/>
      <c r="E399" s="99" t="s">
        <v>312</v>
      </c>
      <c r="F399" s="21">
        <f>F400</f>
        <v>2419.9</v>
      </c>
      <c r="G399" s="21">
        <f t="shared" ref="G399" si="118">G400</f>
        <v>2274.6999999999998</v>
      </c>
    </row>
    <row r="400" spans="1:7" ht="31.5">
      <c r="A400" s="98" t="s">
        <v>19</v>
      </c>
      <c r="B400" s="98" t="s">
        <v>42</v>
      </c>
      <c r="C400" s="100">
        <v>2520000000</v>
      </c>
      <c r="D400" s="98"/>
      <c r="E400" s="99" t="s">
        <v>241</v>
      </c>
      <c r="F400" s="21">
        <f>F405+F409+F413+F401</f>
        <v>2419.9</v>
      </c>
      <c r="G400" s="21">
        <f>G405+G409+G413+G401</f>
        <v>2274.6999999999998</v>
      </c>
    </row>
    <row r="401" spans="1:7" ht="63">
      <c r="A401" s="179" t="s">
        <v>19</v>
      </c>
      <c r="B401" s="179" t="s">
        <v>42</v>
      </c>
      <c r="C401" s="179">
        <v>2520100000</v>
      </c>
      <c r="D401" s="179"/>
      <c r="E401" s="56" t="s">
        <v>366</v>
      </c>
      <c r="F401" s="21">
        <f>F402</f>
        <v>406.20000000000005</v>
      </c>
      <c r="G401" s="21">
        <f t="shared" ref="G401:G403" si="119">G402</f>
        <v>406.2</v>
      </c>
    </row>
    <row r="402" spans="1:7" ht="31.5">
      <c r="A402" s="179" t="s">
        <v>19</v>
      </c>
      <c r="B402" s="179" t="s">
        <v>42</v>
      </c>
      <c r="C402" s="10" t="s">
        <v>367</v>
      </c>
      <c r="D402" s="179"/>
      <c r="E402" s="56" t="s">
        <v>368</v>
      </c>
      <c r="F402" s="21">
        <f>F403</f>
        <v>406.20000000000005</v>
      </c>
      <c r="G402" s="21">
        <f t="shared" si="119"/>
        <v>406.2</v>
      </c>
    </row>
    <row r="403" spans="1:7" ht="31.5">
      <c r="A403" s="179" t="s">
        <v>19</v>
      </c>
      <c r="B403" s="179" t="s">
        <v>42</v>
      </c>
      <c r="C403" s="10" t="s">
        <v>367</v>
      </c>
      <c r="D403" s="178" t="s">
        <v>92</v>
      </c>
      <c r="E403" s="56" t="s">
        <v>93</v>
      </c>
      <c r="F403" s="21">
        <f>F404</f>
        <v>406.20000000000005</v>
      </c>
      <c r="G403" s="21">
        <f t="shared" si="119"/>
        <v>406.2</v>
      </c>
    </row>
    <row r="404" spans="1:7">
      <c r="A404" s="179" t="s">
        <v>19</v>
      </c>
      <c r="B404" s="179" t="s">
        <v>42</v>
      </c>
      <c r="C404" s="10" t="s">
        <v>367</v>
      </c>
      <c r="D404" s="179">
        <v>610</v>
      </c>
      <c r="E404" s="56" t="s">
        <v>99</v>
      </c>
      <c r="F404" s="21">
        <f>136.9+269.3</f>
        <v>406.20000000000005</v>
      </c>
      <c r="G404" s="21">
        <v>406.2</v>
      </c>
    </row>
    <row r="405" spans="1:7" ht="31.5">
      <c r="A405" s="123" t="s">
        <v>19</v>
      </c>
      <c r="B405" s="123" t="s">
        <v>42</v>
      </c>
      <c r="C405" s="122">
        <v>2520400000</v>
      </c>
      <c r="D405" s="123"/>
      <c r="E405" s="56" t="s">
        <v>330</v>
      </c>
      <c r="F405" s="21">
        <f>F406</f>
        <v>256.5</v>
      </c>
      <c r="G405" s="21">
        <f t="shared" ref="G405:G407" si="120">G406</f>
        <v>251.3</v>
      </c>
    </row>
    <row r="406" spans="1:7">
      <c r="A406" s="123" t="s">
        <v>19</v>
      </c>
      <c r="B406" s="123" t="s">
        <v>42</v>
      </c>
      <c r="C406" s="122">
        <v>2520420300</v>
      </c>
      <c r="D406" s="123"/>
      <c r="E406" s="56" t="s">
        <v>331</v>
      </c>
      <c r="F406" s="21">
        <f>F407</f>
        <v>256.5</v>
      </c>
      <c r="G406" s="21">
        <f t="shared" si="120"/>
        <v>251.3</v>
      </c>
    </row>
    <row r="407" spans="1:7" ht="31.5">
      <c r="A407" s="123" t="s">
        <v>19</v>
      </c>
      <c r="B407" s="123" t="s">
        <v>42</v>
      </c>
      <c r="C407" s="122">
        <v>2520420300</v>
      </c>
      <c r="D407" s="122" t="s">
        <v>92</v>
      </c>
      <c r="E407" s="56" t="s">
        <v>93</v>
      </c>
      <c r="F407" s="21">
        <f>F408</f>
        <v>256.5</v>
      </c>
      <c r="G407" s="21">
        <f t="shared" si="120"/>
        <v>251.3</v>
      </c>
    </row>
    <row r="408" spans="1:7">
      <c r="A408" s="123" t="s">
        <v>19</v>
      </c>
      <c r="B408" s="123" t="s">
        <v>42</v>
      </c>
      <c r="C408" s="122">
        <v>2520420300</v>
      </c>
      <c r="D408" s="123">
        <v>610</v>
      </c>
      <c r="E408" s="56" t="s">
        <v>99</v>
      </c>
      <c r="F408" s="21">
        <f>212.9+43.6</f>
        <v>256.5</v>
      </c>
      <c r="G408" s="21">
        <v>251.3</v>
      </c>
    </row>
    <row r="409" spans="1:7" ht="31.5">
      <c r="A409" s="151" t="s">
        <v>19</v>
      </c>
      <c r="B409" s="151" t="s">
        <v>42</v>
      </c>
      <c r="C409" s="150">
        <v>2520500000</v>
      </c>
      <c r="D409" s="151"/>
      <c r="E409" s="152" t="s">
        <v>341</v>
      </c>
      <c r="F409" s="21">
        <f>F410</f>
        <v>47.2</v>
      </c>
      <c r="G409" s="21">
        <f t="shared" ref="G409:G411" si="121">G410</f>
        <v>41.9</v>
      </c>
    </row>
    <row r="410" spans="1:7">
      <c r="A410" s="151" t="s">
        <v>19</v>
      </c>
      <c r="B410" s="151" t="s">
        <v>42</v>
      </c>
      <c r="C410" s="150">
        <v>2520520300</v>
      </c>
      <c r="D410" s="151"/>
      <c r="E410" s="152" t="s">
        <v>342</v>
      </c>
      <c r="F410" s="21">
        <f>F411</f>
        <v>47.2</v>
      </c>
      <c r="G410" s="21">
        <f t="shared" si="121"/>
        <v>41.9</v>
      </c>
    </row>
    <row r="411" spans="1:7" ht="31.5">
      <c r="A411" s="151" t="s">
        <v>19</v>
      </c>
      <c r="B411" s="151" t="s">
        <v>42</v>
      </c>
      <c r="C411" s="150">
        <v>2520520300</v>
      </c>
      <c r="D411" s="150" t="s">
        <v>92</v>
      </c>
      <c r="E411" s="56" t="s">
        <v>93</v>
      </c>
      <c r="F411" s="21">
        <f>F412</f>
        <v>47.2</v>
      </c>
      <c r="G411" s="21">
        <f t="shared" si="121"/>
        <v>41.9</v>
      </c>
    </row>
    <row r="412" spans="1:7">
      <c r="A412" s="151" t="s">
        <v>19</v>
      </c>
      <c r="B412" s="151" t="s">
        <v>42</v>
      </c>
      <c r="C412" s="150">
        <v>2520520300</v>
      </c>
      <c r="D412" s="151">
        <v>610</v>
      </c>
      <c r="E412" s="56" t="s">
        <v>99</v>
      </c>
      <c r="F412" s="21">
        <v>47.2</v>
      </c>
      <c r="G412" s="21">
        <v>41.9</v>
      </c>
    </row>
    <row r="413" spans="1:7" ht="31.5">
      <c r="A413" s="151" t="s">
        <v>19</v>
      </c>
      <c r="B413" s="151" t="s">
        <v>42</v>
      </c>
      <c r="C413" s="150">
        <v>2520600000</v>
      </c>
      <c r="D413" s="151"/>
      <c r="E413" s="152" t="s">
        <v>340</v>
      </c>
      <c r="F413" s="21">
        <f>F414</f>
        <v>1710</v>
      </c>
      <c r="G413" s="21">
        <f t="shared" ref="G413:G415" si="122">G414</f>
        <v>1575.3</v>
      </c>
    </row>
    <row r="414" spans="1:7">
      <c r="A414" s="151" t="s">
        <v>19</v>
      </c>
      <c r="B414" s="151" t="s">
        <v>42</v>
      </c>
      <c r="C414" s="150">
        <v>2520620200</v>
      </c>
      <c r="D414" s="151"/>
      <c r="E414" s="152" t="s">
        <v>275</v>
      </c>
      <c r="F414" s="21">
        <f>F415</f>
        <v>1710</v>
      </c>
      <c r="G414" s="21">
        <f t="shared" si="122"/>
        <v>1575.3</v>
      </c>
    </row>
    <row r="415" spans="1:7" ht="31.5">
      <c r="A415" s="151" t="s">
        <v>19</v>
      </c>
      <c r="B415" s="151" t="s">
        <v>42</v>
      </c>
      <c r="C415" s="150">
        <v>2520620200</v>
      </c>
      <c r="D415" s="150" t="s">
        <v>92</v>
      </c>
      <c r="E415" s="56" t="s">
        <v>93</v>
      </c>
      <c r="F415" s="21">
        <f>F416</f>
        <v>1710</v>
      </c>
      <c r="G415" s="21">
        <f t="shared" si="122"/>
        <v>1575.3</v>
      </c>
    </row>
    <row r="416" spans="1:7">
      <c r="A416" s="151" t="s">
        <v>19</v>
      </c>
      <c r="B416" s="151" t="s">
        <v>42</v>
      </c>
      <c r="C416" s="150">
        <v>2520620200</v>
      </c>
      <c r="D416" s="151">
        <v>610</v>
      </c>
      <c r="E416" s="56" t="s">
        <v>99</v>
      </c>
      <c r="F416" s="21">
        <f>1621.9+88.1</f>
        <v>1710</v>
      </c>
      <c r="G416" s="21">
        <v>1575.3</v>
      </c>
    </row>
    <row r="417" spans="1:7">
      <c r="A417" s="185" t="s">
        <v>19</v>
      </c>
      <c r="B417" s="185" t="s">
        <v>42</v>
      </c>
      <c r="C417" s="184">
        <v>9900000000</v>
      </c>
      <c r="D417" s="184"/>
      <c r="E417" s="56" t="s">
        <v>100</v>
      </c>
      <c r="F417" s="21">
        <f>F418</f>
        <v>100</v>
      </c>
      <c r="G417" s="21">
        <f t="shared" ref="G417:G420" si="123">G418</f>
        <v>100</v>
      </c>
    </row>
    <row r="418" spans="1:7" ht="47.25">
      <c r="A418" s="185" t="s">
        <v>19</v>
      </c>
      <c r="B418" s="185" t="s">
        <v>42</v>
      </c>
      <c r="C418" s="184">
        <v>9920000000</v>
      </c>
      <c r="D418" s="184"/>
      <c r="E418" s="56" t="s">
        <v>381</v>
      </c>
      <c r="F418" s="21">
        <f>F419</f>
        <v>100</v>
      </c>
      <c r="G418" s="21">
        <f t="shared" si="123"/>
        <v>100</v>
      </c>
    </row>
    <row r="419" spans="1:7" ht="47.25">
      <c r="A419" s="185" t="s">
        <v>19</v>
      </c>
      <c r="B419" s="185" t="s">
        <v>42</v>
      </c>
      <c r="C419" s="184">
        <v>9920010920</v>
      </c>
      <c r="D419" s="184"/>
      <c r="E419" s="56" t="s">
        <v>382</v>
      </c>
      <c r="F419" s="21">
        <f>F420</f>
        <v>100</v>
      </c>
      <c r="G419" s="21">
        <f t="shared" si="123"/>
        <v>100</v>
      </c>
    </row>
    <row r="420" spans="1:7" ht="31.5">
      <c r="A420" s="185" t="s">
        <v>19</v>
      </c>
      <c r="B420" s="185" t="s">
        <v>42</v>
      </c>
      <c r="C420" s="184">
        <v>9920010920</v>
      </c>
      <c r="D420" s="184" t="s">
        <v>92</v>
      </c>
      <c r="E420" s="56" t="s">
        <v>93</v>
      </c>
      <c r="F420" s="21">
        <f>F421</f>
        <v>100</v>
      </c>
      <c r="G420" s="21">
        <f t="shared" si="123"/>
        <v>100</v>
      </c>
    </row>
    <row r="421" spans="1:7">
      <c r="A421" s="185" t="s">
        <v>19</v>
      </c>
      <c r="B421" s="185" t="s">
        <v>42</v>
      </c>
      <c r="C421" s="184">
        <v>9920010920</v>
      </c>
      <c r="D421" s="184">
        <v>610</v>
      </c>
      <c r="E421" s="56" t="s">
        <v>99</v>
      </c>
      <c r="F421" s="21">
        <v>100</v>
      </c>
      <c r="G421" s="21">
        <v>100</v>
      </c>
    </row>
    <row r="422" spans="1:7">
      <c r="A422" s="98" t="s">
        <v>19</v>
      </c>
      <c r="B422" s="98" t="s">
        <v>39</v>
      </c>
      <c r="C422" s="98" t="s">
        <v>64</v>
      </c>
      <c r="D422" s="98" t="s">
        <v>64</v>
      </c>
      <c r="E422" s="42" t="s">
        <v>31</v>
      </c>
      <c r="F422" s="21">
        <f>F423+F432+F445</f>
        <v>9673.6</v>
      </c>
      <c r="G422" s="21">
        <f>G423+G432+G445</f>
        <v>9557.8000000000011</v>
      </c>
    </row>
    <row r="423" spans="1:7">
      <c r="A423" s="98" t="s">
        <v>19</v>
      </c>
      <c r="B423" s="98" t="s">
        <v>52</v>
      </c>
      <c r="C423" s="98" t="s">
        <v>64</v>
      </c>
      <c r="D423" s="98" t="s">
        <v>64</v>
      </c>
      <c r="E423" s="99" t="s">
        <v>32</v>
      </c>
      <c r="F423" s="21">
        <f>F424</f>
        <v>698.3</v>
      </c>
      <c r="G423" s="21">
        <f t="shared" ref="G423:G426" si="124">G424</f>
        <v>617.6</v>
      </c>
    </row>
    <row r="424" spans="1:7" ht="47.25">
      <c r="A424" s="98" t="s">
        <v>19</v>
      </c>
      <c r="B424" s="98" t="s">
        <v>52</v>
      </c>
      <c r="C424" s="100">
        <v>2200000000</v>
      </c>
      <c r="D424" s="98"/>
      <c r="E424" s="99" t="s">
        <v>311</v>
      </c>
      <c r="F424" s="21">
        <f>F425</f>
        <v>698.3</v>
      </c>
      <c r="G424" s="21">
        <f t="shared" si="124"/>
        <v>617.6</v>
      </c>
    </row>
    <row r="425" spans="1:7" ht="31.5">
      <c r="A425" s="98" t="s">
        <v>19</v>
      </c>
      <c r="B425" s="98" t="s">
        <v>52</v>
      </c>
      <c r="C425" s="100">
        <v>2240000000</v>
      </c>
      <c r="D425" s="98"/>
      <c r="E425" s="99" t="s">
        <v>127</v>
      </c>
      <c r="F425" s="21">
        <f>F426</f>
        <v>698.3</v>
      </c>
      <c r="G425" s="21">
        <f t="shared" si="124"/>
        <v>617.6</v>
      </c>
    </row>
    <row r="426" spans="1:7">
      <c r="A426" s="98" t="s">
        <v>19</v>
      </c>
      <c r="B426" s="98" t="s">
        <v>52</v>
      </c>
      <c r="C426" s="98">
        <v>2240400000</v>
      </c>
      <c r="D426" s="98"/>
      <c r="E426" s="99" t="s">
        <v>180</v>
      </c>
      <c r="F426" s="21">
        <f>F427</f>
        <v>698.3</v>
      </c>
      <c r="G426" s="21">
        <f t="shared" si="124"/>
        <v>617.6</v>
      </c>
    </row>
    <row r="427" spans="1:7" ht="47.25">
      <c r="A427" s="98" t="s">
        <v>19</v>
      </c>
      <c r="B427" s="98" t="s">
        <v>52</v>
      </c>
      <c r="C427" s="98">
        <v>2240420390</v>
      </c>
      <c r="D427" s="98"/>
      <c r="E427" s="99" t="s">
        <v>65</v>
      </c>
      <c r="F427" s="21">
        <f>F428+F430</f>
        <v>698.3</v>
      </c>
      <c r="G427" s="21">
        <f>G428+G430</f>
        <v>617.6</v>
      </c>
    </row>
    <row r="428" spans="1:7" ht="31.5">
      <c r="A428" s="98" t="s">
        <v>19</v>
      </c>
      <c r="B428" s="98" t="s">
        <v>52</v>
      </c>
      <c r="C428" s="98">
        <v>2240420390</v>
      </c>
      <c r="D428" s="100" t="s">
        <v>67</v>
      </c>
      <c r="E428" s="99" t="s">
        <v>90</v>
      </c>
      <c r="F428" s="21">
        <f>F429</f>
        <v>20.3</v>
      </c>
      <c r="G428" s="21">
        <f>G429</f>
        <v>0</v>
      </c>
    </row>
    <row r="429" spans="1:7" ht="31.5">
      <c r="A429" s="98" t="s">
        <v>19</v>
      </c>
      <c r="B429" s="98" t="s">
        <v>52</v>
      </c>
      <c r="C429" s="98">
        <v>2240420390</v>
      </c>
      <c r="D429" s="98">
        <v>240</v>
      </c>
      <c r="E429" s="99" t="s">
        <v>216</v>
      </c>
      <c r="F429" s="21">
        <v>20.3</v>
      </c>
      <c r="G429" s="21">
        <v>0</v>
      </c>
    </row>
    <row r="430" spans="1:7">
      <c r="A430" s="98" t="s">
        <v>19</v>
      </c>
      <c r="B430" s="98" t="s">
        <v>52</v>
      </c>
      <c r="C430" s="98">
        <v>2240420390</v>
      </c>
      <c r="D430" s="100" t="s">
        <v>71</v>
      </c>
      <c r="E430" s="99" t="s">
        <v>72</v>
      </c>
      <c r="F430" s="21">
        <f>F431</f>
        <v>678</v>
      </c>
      <c r="G430" s="21">
        <f>G431</f>
        <v>617.6</v>
      </c>
    </row>
    <row r="431" spans="1:7">
      <c r="A431" s="98" t="s">
        <v>19</v>
      </c>
      <c r="B431" s="98" t="s">
        <v>52</v>
      </c>
      <c r="C431" s="98">
        <v>2240420390</v>
      </c>
      <c r="D431" s="100" t="s">
        <v>135</v>
      </c>
      <c r="E431" s="99" t="s">
        <v>136</v>
      </c>
      <c r="F431" s="21">
        <v>678</v>
      </c>
      <c r="G431" s="21">
        <v>617.6</v>
      </c>
    </row>
    <row r="432" spans="1:7">
      <c r="A432" s="98" t="s">
        <v>19</v>
      </c>
      <c r="B432" s="98" t="s">
        <v>40</v>
      </c>
      <c r="C432" s="98" t="s">
        <v>64</v>
      </c>
      <c r="D432" s="98" t="s">
        <v>64</v>
      </c>
      <c r="E432" s="99" t="s">
        <v>34</v>
      </c>
      <c r="F432" s="21">
        <f>F433</f>
        <v>607.1</v>
      </c>
      <c r="G432" s="21">
        <f>G433</f>
        <v>572</v>
      </c>
    </row>
    <row r="433" spans="1:7" ht="47.25">
      <c r="A433" s="98" t="s">
        <v>19</v>
      </c>
      <c r="B433" s="98" t="s">
        <v>40</v>
      </c>
      <c r="C433" s="100">
        <v>2200000000</v>
      </c>
      <c r="D433" s="98"/>
      <c r="E433" s="99" t="s">
        <v>311</v>
      </c>
      <c r="F433" s="21">
        <f>F434</f>
        <v>607.1</v>
      </c>
      <c r="G433" s="21">
        <f t="shared" ref="G433:G435" si="125">G434</f>
        <v>572</v>
      </c>
    </row>
    <row r="434" spans="1:7" ht="31.5">
      <c r="A434" s="98" t="s">
        <v>19</v>
      </c>
      <c r="B434" s="98" t="s">
        <v>40</v>
      </c>
      <c r="C434" s="100">
        <v>2240000000</v>
      </c>
      <c r="D434" s="98"/>
      <c r="E434" s="99" t="s">
        <v>127</v>
      </c>
      <c r="F434" s="21">
        <f>F435+F439</f>
        <v>607.1</v>
      </c>
      <c r="G434" s="21">
        <f t="shared" ref="G434" si="126">G435+G439</f>
        <v>572</v>
      </c>
    </row>
    <row r="435" spans="1:7" ht="31.5">
      <c r="A435" s="98" t="s">
        <v>19</v>
      </c>
      <c r="B435" s="98" t="s">
        <v>40</v>
      </c>
      <c r="C435" s="100">
        <v>2240100000</v>
      </c>
      <c r="D435" s="98"/>
      <c r="E435" s="99" t="s">
        <v>181</v>
      </c>
      <c r="F435" s="21">
        <f>F436</f>
        <v>500</v>
      </c>
      <c r="G435" s="21">
        <f t="shared" si="125"/>
        <v>500</v>
      </c>
    </row>
    <row r="436" spans="1:7" ht="31.5">
      <c r="A436" s="98" t="s">
        <v>19</v>
      </c>
      <c r="B436" s="98" t="s">
        <v>40</v>
      </c>
      <c r="C436" s="100">
        <v>2240120330</v>
      </c>
      <c r="D436" s="98"/>
      <c r="E436" s="99" t="s">
        <v>137</v>
      </c>
      <c r="F436" s="21">
        <f>F437</f>
        <v>500</v>
      </c>
      <c r="G436" s="21">
        <f>G437</f>
        <v>500</v>
      </c>
    </row>
    <row r="437" spans="1:7" ht="31.5">
      <c r="A437" s="98" t="s">
        <v>19</v>
      </c>
      <c r="B437" s="98" t="s">
        <v>40</v>
      </c>
      <c r="C437" s="100">
        <v>2240120330</v>
      </c>
      <c r="D437" s="100" t="s">
        <v>92</v>
      </c>
      <c r="E437" s="99" t="s">
        <v>93</v>
      </c>
      <c r="F437" s="21">
        <f>F438</f>
        <v>500</v>
      </c>
      <c r="G437" s="21">
        <f>G438</f>
        <v>500</v>
      </c>
    </row>
    <row r="438" spans="1:7" ht="31.5">
      <c r="A438" s="98" t="s">
        <v>19</v>
      </c>
      <c r="B438" s="98" t="s">
        <v>40</v>
      </c>
      <c r="C438" s="100">
        <v>2240120330</v>
      </c>
      <c r="D438" s="98">
        <v>630</v>
      </c>
      <c r="E438" s="99" t="s">
        <v>138</v>
      </c>
      <c r="F438" s="21">
        <v>500</v>
      </c>
      <c r="G438" s="21">
        <v>500</v>
      </c>
    </row>
    <row r="439" spans="1:7" ht="31.5">
      <c r="A439" s="98" t="s">
        <v>19</v>
      </c>
      <c r="B439" s="98" t="s">
        <v>40</v>
      </c>
      <c r="C439" s="100">
        <v>2240200000</v>
      </c>
      <c r="D439" s="98"/>
      <c r="E439" s="99" t="s">
        <v>139</v>
      </c>
      <c r="F439" s="21">
        <f>F440</f>
        <v>107.1</v>
      </c>
      <c r="G439" s="21">
        <f>G440</f>
        <v>72</v>
      </c>
    </row>
    <row r="440" spans="1:7" ht="31.5">
      <c r="A440" s="98" t="s">
        <v>19</v>
      </c>
      <c r="B440" s="98" t="s">
        <v>40</v>
      </c>
      <c r="C440" s="100">
        <v>2240220350</v>
      </c>
      <c r="D440" s="98"/>
      <c r="E440" s="99" t="s">
        <v>182</v>
      </c>
      <c r="F440" s="21">
        <f>F441+F443</f>
        <v>107.1</v>
      </c>
      <c r="G440" s="21">
        <f>G441+G443</f>
        <v>72</v>
      </c>
    </row>
    <row r="441" spans="1:7" ht="31.5">
      <c r="A441" s="98" t="s">
        <v>19</v>
      </c>
      <c r="B441" s="98" t="s">
        <v>40</v>
      </c>
      <c r="C441" s="100">
        <v>2240220350</v>
      </c>
      <c r="D441" s="100" t="s">
        <v>67</v>
      </c>
      <c r="E441" s="99" t="s">
        <v>90</v>
      </c>
      <c r="F441" s="21">
        <f>F442</f>
        <v>3.1</v>
      </c>
      <c r="G441" s="21">
        <f>G442</f>
        <v>0</v>
      </c>
    </row>
    <row r="442" spans="1:7" ht="31.5">
      <c r="A442" s="98" t="s">
        <v>19</v>
      </c>
      <c r="B442" s="98" t="s">
        <v>40</v>
      </c>
      <c r="C442" s="100">
        <v>2240220350</v>
      </c>
      <c r="D442" s="98">
        <v>240</v>
      </c>
      <c r="E442" s="99" t="s">
        <v>216</v>
      </c>
      <c r="F442" s="21">
        <v>3.1</v>
      </c>
      <c r="G442" s="21">
        <v>0</v>
      </c>
    </row>
    <row r="443" spans="1:7">
      <c r="A443" s="98" t="s">
        <v>19</v>
      </c>
      <c r="B443" s="98" t="s">
        <v>40</v>
      </c>
      <c r="C443" s="100">
        <v>2240220350</v>
      </c>
      <c r="D443" s="98" t="s">
        <v>71</v>
      </c>
      <c r="E443" s="99" t="s">
        <v>72</v>
      </c>
      <c r="F443" s="21">
        <f>F444</f>
        <v>104</v>
      </c>
      <c r="G443" s="21">
        <f>G444</f>
        <v>72</v>
      </c>
    </row>
    <row r="444" spans="1:7">
      <c r="A444" s="98" t="s">
        <v>19</v>
      </c>
      <c r="B444" s="98" t="s">
        <v>40</v>
      </c>
      <c r="C444" s="100">
        <v>2240220350</v>
      </c>
      <c r="D444" s="98" t="s">
        <v>135</v>
      </c>
      <c r="E444" s="99" t="s">
        <v>136</v>
      </c>
      <c r="F444" s="21">
        <v>104</v>
      </c>
      <c r="G444" s="21">
        <v>72</v>
      </c>
    </row>
    <row r="445" spans="1:7">
      <c r="A445" s="98" t="s">
        <v>19</v>
      </c>
      <c r="B445" s="98">
        <v>1004</v>
      </c>
      <c r="C445" s="71"/>
      <c r="D445" s="71"/>
      <c r="E445" s="49" t="s">
        <v>83</v>
      </c>
      <c r="F445" s="21">
        <f>F446</f>
        <v>8368.2000000000007</v>
      </c>
      <c r="G445" s="21">
        <f t="shared" ref="G445:G448" si="127">G446</f>
        <v>8368.2000000000007</v>
      </c>
    </row>
    <row r="446" spans="1:7" ht="47.25">
      <c r="A446" s="98" t="s">
        <v>19</v>
      </c>
      <c r="B446" s="98">
        <v>1004</v>
      </c>
      <c r="C446" s="100">
        <v>2200000000</v>
      </c>
      <c r="D446" s="98"/>
      <c r="E446" s="99" t="s">
        <v>311</v>
      </c>
      <c r="F446" s="21">
        <f>F447</f>
        <v>8368.2000000000007</v>
      </c>
      <c r="G446" s="21">
        <f t="shared" si="127"/>
        <v>8368.2000000000007</v>
      </c>
    </row>
    <row r="447" spans="1:7" ht="31.5">
      <c r="A447" s="98" t="s">
        <v>19</v>
      </c>
      <c r="B447" s="98">
        <v>1004</v>
      </c>
      <c r="C447" s="100">
        <v>2240000000</v>
      </c>
      <c r="D447" s="98"/>
      <c r="E447" s="99" t="s">
        <v>127</v>
      </c>
      <c r="F447" s="21">
        <f>F448</f>
        <v>8368.2000000000007</v>
      </c>
      <c r="G447" s="21">
        <f t="shared" si="127"/>
        <v>8368.2000000000007</v>
      </c>
    </row>
    <row r="448" spans="1:7">
      <c r="A448" s="98" t="s">
        <v>19</v>
      </c>
      <c r="B448" s="98">
        <v>1004</v>
      </c>
      <c r="C448" s="98">
        <v>2240400000</v>
      </c>
      <c r="D448" s="98"/>
      <c r="E448" s="99" t="s">
        <v>180</v>
      </c>
      <c r="F448" s="21">
        <f>F449</f>
        <v>8368.2000000000007</v>
      </c>
      <c r="G448" s="21">
        <f t="shared" si="127"/>
        <v>8368.2000000000007</v>
      </c>
    </row>
    <row r="449" spans="1:7">
      <c r="A449" s="98" t="s">
        <v>19</v>
      </c>
      <c r="B449" s="98">
        <v>1004</v>
      </c>
      <c r="C449" s="98" t="s">
        <v>304</v>
      </c>
      <c r="D449" s="98"/>
      <c r="E449" s="99" t="s">
        <v>215</v>
      </c>
      <c r="F449" s="21">
        <f t="shared" ref="F449:G450" si="128">F450</f>
        <v>8368.2000000000007</v>
      </c>
      <c r="G449" s="21">
        <f t="shared" si="128"/>
        <v>8368.2000000000007</v>
      </c>
    </row>
    <row r="450" spans="1:7">
      <c r="A450" s="98" t="s">
        <v>19</v>
      </c>
      <c r="B450" s="98">
        <v>1004</v>
      </c>
      <c r="C450" s="98" t="s">
        <v>304</v>
      </c>
      <c r="D450" s="1" t="s">
        <v>71</v>
      </c>
      <c r="E450" s="47" t="s">
        <v>72</v>
      </c>
      <c r="F450" s="21">
        <f t="shared" si="128"/>
        <v>8368.2000000000007</v>
      </c>
      <c r="G450" s="21">
        <f t="shared" si="128"/>
        <v>8368.2000000000007</v>
      </c>
    </row>
    <row r="451" spans="1:7" ht="31.5">
      <c r="A451" s="98" t="s">
        <v>19</v>
      </c>
      <c r="B451" s="98">
        <v>1004</v>
      </c>
      <c r="C451" s="98" t="s">
        <v>304</v>
      </c>
      <c r="D451" s="1" t="s">
        <v>96</v>
      </c>
      <c r="E451" s="47" t="s">
        <v>97</v>
      </c>
      <c r="F451" s="21">
        <f>1673.7+6694.6-0.1</f>
        <v>8368.2000000000007</v>
      </c>
      <c r="G451" s="21">
        <v>8368.2000000000007</v>
      </c>
    </row>
    <row r="452" spans="1:7">
      <c r="A452" s="98" t="s">
        <v>19</v>
      </c>
      <c r="B452" s="98" t="s">
        <v>59</v>
      </c>
      <c r="C452" s="98" t="s">
        <v>64</v>
      </c>
      <c r="D452" s="98" t="s">
        <v>64</v>
      </c>
      <c r="E452" s="99" t="s">
        <v>30</v>
      </c>
      <c r="F452" s="21">
        <f>F453+F493</f>
        <v>40400.5</v>
      </c>
      <c r="G452" s="21">
        <f>G453+G493</f>
        <v>40293.9</v>
      </c>
    </row>
    <row r="453" spans="1:7">
      <c r="A453" s="98" t="s">
        <v>19</v>
      </c>
      <c r="B453" s="98" t="s">
        <v>84</v>
      </c>
      <c r="C453" s="98" t="s">
        <v>64</v>
      </c>
      <c r="D453" s="98" t="s">
        <v>64</v>
      </c>
      <c r="E453" s="99" t="s">
        <v>60</v>
      </c>
      <c r="F453" s="21">
        <f>F454+F479</f>
        <v>15859.7</v>
      </c>
      <c r="G453" s="21">
        <f>G454+G479</f>
        <v>15836.2</v>
      </c>
    </row>
    <row r="454" spans="1:7" ht="47.25">
      <c r="A454" s="98" t="s">
        <v>19</v>
      </c>
      <c r="B454" s="98" t="s">
        <v>84</v>
      </c>
      <c r="C454" s="100">
        <v>2200000000</v>
      </c>
      <c r="D454" s="98"/>
      <c r="E454" s="99" t="s">
        <v>311</v>
      </c>
      <c r="F454" s="21">
        <f>F455</f>
        <v>15612.2</v>
      </c>
      <c r="G454" s="21">
        <f>G455</f>
        <v>15589.2</v>
      </c>
    </row>
    <row r="455" spans="1:7">
      <c r="A455" s="98" t="s">
        <v>19</v>
      </c>
      <c r="B455" s="98" t="s">
        <v>84</v>
      </c>
      <c r="C455" s="98">
        <v>2230000000</v>
      </c>
      <c r="D455" s="98"/>
      <c r="E455" s="99" t="s">
        <v>184</v>
      </c>
      <c r="F455" s="21">
        <f>F456+F460+F464</f>
        <v>15612.2</v>
      </c>
      <c r="G455" s="21">
        <f t="shared" ref="G455" si="129">G456+G460+G464</f>
        <v>15589.2</v>
      </c>
    </row>
    <row r="456" spans="1:7" ht="36" customHeight="1">
      <c r="A456" s="98" t="s">
        <v>19</v>
      </c>
      <c r="B456" s="98" t="s">
        <v>84</v>
      </c>
      <c r="C456" s="98">
        <v>2230100000</v>
      </c>
      <c r="D456" s="98"/>
      <c r="E456" s="99" t="s">
        <v>185</v>
      </c>
      <c r="F456" s="21">
        <f t="shared" ref="F456:G458" si="130">F457</f>
        <v>13968.300000000001</v>
      </c>
      <c r="G456" s="21">
        <f t="shared" si="130"/>
        <v>13968.3</v>
      </c>
    </row>
    <row r="457" spans="1:7" ht="31.5">
      <c r="A457" s="98" t="s">
        <v>19</v>
      </c>
      <c r="B457" s="2" t="s">
        <v>84</v>
      </c>
      <c r="C457" s="98">
        <v>2230120010</v>
      </c>
      <c r="D457" s="98"/>
      <c r="E457" s="99" t="s">
        <v>118</v>
      </c>
      <c r="F457" s="21">
        <f t="shared" si="130"/>
        <v>13968.300000000001</v>
      </c>
      <c r="G457" s="21">
        <f t="shared" si="130"/>
        <v>13968.3</v>
      </c>
    </row>
    <row r="458" spans="1:7" ht="31.5">
      <c r="A458" s="98" t="s">
        <v>19</v>
      </c>
      <c r="B458" s="2" t="s">
        <v>84</v>
      </c>
      <c r="C458" s="98">
        <v>2230120010</v>
      </c>
      <c r="D458" s="100" t="s">
        <v>92</v>
      </c>
      <c r="E458" s="99" t="s">
        <v>93</v>
      </c>
      <c r="F458" s="21">
        <f t="shared" si="130"/>
        <v>13968.300000000001</v>
      </c>
      <c r="G458" s="21">
        <f t="shared" si="130"/>
        <v>13968.3</v>
      </c>
    </row>
    <row r="459" spans="1:7">
      <c r="A459" s="98" t="s">
        <v>19</v>
      </c>
      <c r="B459" s="98" t="s">
        <v>84</v>
      </c>
      <c r="C459" s="98">
        <v>2230120010</v>
      </c>
      <c r="D459" s="98">
        <v>610</v>
      </c>
      <c r="E459" s="99" t="s">
        <v>99</v>
      </c>
      <c r="F459" s="21">
        <f>13487.4+308.1+101.6+71.2</f>
        <v>13968.300000000001</v>
      </c>
      <c r="G459" s="21">
        <v>13968.3</v>
      </c>
    </row>
    <row r="460" spans="1:7" ht="63">
      <c r="A460" s="98" t="s">
        <v>19</v>
      </c>
      <c r="B460" s="98" t="s">
        <v>84</v>
      </c>
      <c r="C460" s="98">
        <v>2230200000</v>
      </c>
      <c r="D460" s="98"/>
      <c r="E460" s="99" t="s">
        <v>186</v>
      </c>
      <c r="F460" s="21">
        <f>F461</f>
        <v>367.8</v>
      </c>
      <c r="G460" s="21">
        <f t="shared" ref="G460:G462" si="131">G461</f>
        <v>367.2</v>
      </c>
    </row>
    <row r="461" spans="1:7">
      <c r="A461" s="98" t="s">
        <v>19</v>
      </c>
      <c r="B461" s="98" t="s">
        <v>84</v>
      </c>
      <c r="C461" s="98">
        <v>2230220040</v>
      </c>
      <c r="D461" s="98"/>
      <c r="E461" s="99" t="s">
        <v>187</v>
      </c>
      <c r="F461" s="21">
        <f>F462</f>
        <v>367.8</v>
      </c>
      <c r="G461" s="21">
        <f t="shared" si="131"/>
        <v>367.2</v>
      </c>
    </row>
    <row r="462" spans="1:7" ht="31.5">
      <c r="A462" s="98" t="s">
        <v>19</v>
      </c>
      <c r="B462" s="98" t="s">
        <v>84</v>
      </c>
      <c r="C462" s="98">
        <v>2230220040</v>
      </c>
      <c r="D462" s="100" t="s">
        <v>92</v>
      </c>
      <c r="E462" s="99" t="s">
        <v>93</v>
      </c>
      <c r="F462" s="21">
        <f>F463</f>
        <v>367.8</v>
      </c>
      <c r="G462" s="21">
        <f t="shared" si="131"/>
        <v>367.2</v>
      </c>
    </row>
    <row r="463" spans="1:7">
      <c r="A463" s="98" t="s">
        <v>19</v>
      </c>
      <c r="B463" s="98" t="s">
        <v>84</v>
      </c>
      <c r="C463" s="98">
        <v>2230220040</v>
      </c>
      <c r="D463" s="98">
        <v>610</v>
      </c>
      <c r="E463" s="99" t="s">
        <v>99</v>
      </c>
      <c r="F463" s="21">
        <v>367.8</v>
      </c>
      <c r="G463" s="21">
        <v>367.2</v>
      </c>
    </row>
    <row r="464" spans="1:7" ht="31.5">
      <c r="A464" s="98" t="s">
        <v>19</v>
      </c>
      <c r="B464" s="98" t="s">
        <v>84</v>
      </c>
      <c r="C464" s="98">
        <v>2230300000</v>
      </c>
      <c r="D464" s="98"/>
      <c r="E464" s="99" t="s">
        <v>188</v>
      </c>
      <c r="F464" s="21">
        <f>F465+F472</f>
        <v>1276.0999999999999</v>
      </c>
      <c r="G464" s="21">
        <f>G465+G472</f>
        <v>1253.7</v>
      </c>
    </row>
    <row r="465" spans="1:7" ht="31.5">
      <c r="A465" s="98" t="s">
        <v>19</v>
      </c>
      <c r="B465" s="98" t="s">
        <v>84</v>
      </c>
      <c r="C465" s="98">
        <v>2230320300</v>
      </c>
      <c r="D465" s="98"/>
      <c r="E465" s="99" t="s">
        <v>189</v>
      </c>
      <c r="F465" s="21">
        <f>F467+F469+F471</f>
        <v>537.59999999999991</v>
      </c>
      <c r="G465" s="21">
        <f>G467+G469+G471</f>
        <v>535.70000000000005</v>
      </c>
    </row>
    <row r="466" spans="1:7" ht="63">
      <c r="A466" s="98" t="s">
        <v>19</v>
      </c>
      <c r="B466" s="98" t="s">
        <v>84</v>
      </c>
      <c r="C466" s="98">
        <v>2230320300</v>
      </c>
      <c r="D466" s="100" t="s">
        <v>66</v>
      </c>
      <c r="E466" s="99" t="s">
        <v>1</v>
      </c>
      <c r="F466" s="21">
        <f>F467</f>
        <v>108.9</v>
      </c>
      <c r="G466" s="21">
        <f>G467</f>
        <v>107</v>
      </c>
    </row>
    <row r="467" spans="1:7" ht="31.5">
      <c r="A467" s="98" t="s">
        <v>19</v>
      </c>
      <c r="B467" s="98" t="s">
        <v>84</v>
      </c>
      <c r="C467" s="98">
        <v>2230320300</v>
      </c>
      <c r="D467" s="98">
        <v>120</v>
      </c>
      <c r="E467" s="99" t="s">
        <v>217</v>
      </c>
      <c r="F467" s="21">
        <f>134.5-30+4.4</f>
        <v>108.9</v>
      </c>
      <c r="G467" s="21">
        <v>107</v>
      </c>
    </row>
    <row r="468" spans="1:7" ht="31.5">
      <c r="A468" s="98" t="s">
        <v>19</v>
      </c>
      <c r="B468" s="98" t="s">
        <v>84</v>
      </c>
      <c r="C468" s="119">
        <v>2230320300</v>
      </c>
      <c r="D468" s="100" t="s">
        <v>67</v>
      </c>
      <c r="E468" s="99" t="s">
        <v>90</v>
      </c>
      <c r="F468" s="21">
        <f>F469</f>
        <v>297.5</v>
      </c>
      <c r="G468" s="21">
        <f>G469</f>
        <v>297.5</v>
      </c>
    </row>
    <row r="469" spans="1:7" ht="31.5">
      <c r="A469" s="98" t="s">
        <v>19</v>
      </c>
      <c r="B469" s="98" t="s">
        <v>84</v>
      </c>
      <c r="C469" s="119">
        <v>2230320300</v>
      </c>
      <c r="D469" s="98">
        <v>240</v>
      </c>
      <c r="E469" s="99" t="s">
        <v>216</v>
      </c>
      <c r="F469" s="21">
        <f>128+30+44-3.5+99</f>
        <v>297.5</v>
      </c>
      <c r="G469" s="21">
        <v>297.5</v>
      </c>
    </row>
    <row r="470" spans="1:7">
      <c r="A470" s="98" t="s">
        <v>19</v>
      </c>
      <c r="B470" s="98" t="s">
        <v>84</v>
      </c>
      <c r="C470" s="119">
        <v>2230320300</v>
      </c>
      <c r="D470" s="98" t="s">
        <v>68</v>
      </c>
      <c r="E470" s="99" t="s">
        <v>69</v>
      </c>
      <c r="F470" s="21">
        <f>F471</f>
        <v>131.19999999999999</v>
      </c>
      <c r="G470" s="21">
        <f>G471</f>
        <v>131.19999999999999</v>
      </c>
    </row>
    <row r="471" spans="1:7">
      <c r="A471" s="98" t="s">
        <v>19</v>
      </c>
      <c r="B471" s="98" t="s">
        <v>84</v>
      </c>
      <c r="C471" s="119">
        <v>2230320300</v>
      </c>
      <c r="D471" s="98">
        <v>850</v>
      </c>
      <c r="E471" s="99" t="s">
        <v>95</v>
      </c>
      <c r="F471" s="21">
        <f>132.1-0.9</f>
        <v>131.19999999999999</v>
      </c>
      <c r="G471" s="21">
        <v>131.19999999999999</v>
      </c>
    </row>
    <row r="472" spans="1:7">
      <c r="A472" s="98" t="s">
        <v>19</v>
      </c>
      <c r="B472" s="98" t="s">
        <v>84</v>
      </c>
      <c r="C472" s="98">
        <v>2230320320</v>
      </c>
      <c r="D472" s="98"/>
      <c r="E472" s="99" t="s">
        <v>134</v>
      </c>
      <c r="F472" s="21">
        <f>F473+F475+F477</f>
        <v>738.5</v>
      </c>
      <c r="G472" s="21">
        <f>G473+G475+G477</f>
        <v>718</v>
      </c>
    </row>
    <row r="473" spans="1:7" ht="63">
      <c r="A473" s="98" t="s">
        <v>19</v>
      </c>
      <c r="B473" s="98" t="s">
        <v>84</v>
      </c>
      <c r="C473" s="119">
        <v>2230320320</v>
      </c>
      <c r="D473" s="100" t="s">
        <v>66</v>
      </c>
      <c r="E473" s="99" t="s">
        <v>1</v>
      </c>
      <c r="F473" s="21">
        <f>F474</f>
        <v>278.39999999999998</v>
      </c>
      <c r="G473" s="21">
        <f>G474</f>
        <v>278.39999999999998</v>
      </c>
    </row>
    <row r="474" spans="1:7" ht="31.5">
      <c r="A474" s="98" t="s">
        <v>19</v>
      </c>
      <c r="B474" s="98" t="s">
        <v>84</v>
      </c>
      <c r="C474" s="119">
        <v>2230320320</v>
      </c>
      <c r="D474" s="98">
        <v>120</v>
      </c>
      <c r="E474" s="99" t="s">
        <v>217</v>
      </c>
      <c r="F474" s="21">
        <v>278.39999999999998</v>
      </c>
      <c r="G474" s="21">
        <v>278.39999999999998</v>
      </c>
    </row>
    <row r="475" spans="1:7" ht="31.5">
      <c r="A475" s="98" t="s">
        <v>19</v>
      </c>
      <c r="B475" s="98" t="s">
        <v>84</v>
      </c>
      <c r="C475" s="119">
        <v>2230320320</v>
      </c>
      <c r="D475" s="100" t="s">
        <v>67</v>
      </c>
      <c r="E475" s="99" t="s">
        <v>90</v>
      </c>
      <c r="F475" s="21">
        <f>F476</f>
        <v>169.1</v>
      </c>
      <c r="G475" s="21">
        <f>G476</f>
        <v>169.1</v>
      </c>
    </row>
    <row r="476" spans="1:7" ht="31.5">
      <c r="A476" s="98" t="s">
        <v>19</v>
      </c>
      <c r="B476" s="98" t="s">
        <v>84</v>
      </c>
      <c r="C476" s="119">
        <v>2230320320</v>
      </c>
      <c r="D476" s="98">
        <v>240</v>
      </c>
      <c r="E476" s="99" t="s">
        <v>216</v>
      </c>
      <c r="F476" s="21">
        <f>213.1-44</f>
        <v>169.1</v>
      </c>
      <c r="G476" s="21">
        <v>169.1</v>
      </c>
    </row>
    <row r="477" spans="1:7" ht="31.5">
      <c r="A477" s="98" t="s">
        <v>19</v>
      </c>
      <c r="B477" s="98" t="s">
        <v>84</v>
      </c>
      <c r="C477" s="119">
        <v>2230320320</v>
      </c>
      <c r="D477" s="100" t="s">
        <v>92</v>
      </c>
      <c r="E477" s="99" t="s">
        <v>93</v>
      </c>
      <c r="F477" s="21">
        <f>F478</f>
        <v>291</v>
      </c>
      <c r="G477" s="21">
        <f>G478</f>
        <v>270.5</v>
      </c>
    </row>
    <row r="478" spans="1:7">
      <c r="A478" s="98" t="s">
        <v>19</v>
      </c>
      <c r="B478" s="98" t="s">
        <v>84</v>
      </c>
      <c r="C478" s="119">
        <v>2230320320</v>
      </c>
      <c r="D478" s="98">
        <v>610</v>
      </c>
      <c r="E478" s="99" t="s">
        <v>99</v>
      </c>
      <c r="F478" s="21">
        <f>185.5+105.5</f>
        <v>291</v>
      </c>
      <c r="G478" s="21">
        <v>270.5</v>
      </c>
    </row>
    <row r="479" spans="1:7" ht="31.5">
      <c r="A479" s="123" t="s">
        <v>19</v>
      </c>
      <c r="B479" s="123" t="s">
        <v>84</v>
      </c>
      <c r="C479" s="122">
        <v>2500000000</v>
      </c>
      <c r="D479" s="123"/>
      <c r="E479" s="124" t="s">
        <v>312</v>
      </c>
      <c r="F479" s="21">
        <f>F480</f>
        <v>247.5</v>
      </c>
      <c r="G479" s="21">
        <f t="shared" ref="G479:G483" si="132">G480</f>
        <v>247</v>
      </c>
    </row>
    <row r="480" spans="1:7" ht="31.5">
      <c r="A480" s="123" t="s">
        <v>19</v>
      </c>
      <c r="B480" s="123" t="s">
        <v>84</v>
      </c>
      <c r="C480" s="122">
        <v>2520000000</v>
      </c>
      <c r="D480" s="123"/>
      <c r="E480" s="124" t="s">
        <v>241</v>
      </c>
      <c r="F480" s="21">
        <f>F481+F485+F489</f>
        <v>247.5</v>
      </c>
      <c r="G480" s="21">
        <f t="shared" ref="G480" si="133">G481+G485+G489</f>
        <v>247</v>
      </c>
    </row>
    <row r="481" spans="1:7" ht="31.5">
      <c r="A481" s="123" t="s">
        <v>19</v>
      </c>
      <c r="B481" s="123" t="s">
        <v>84</v>
      </c>
      <c r="C481" s="122">
        <v>2520400000</v>
      </c>
      <c r="D481" s="123"/>
      <c r="E481" s="56" t="s">
        <v>330</v>
      </c>
      <c r="F481" s="21">
        <f>F482</f>
        <v>130</v>
      </c>
      <c r="G481" s="21">
        <f t="shared" si="132"/>
        <v>129.5</v>
      </c>
    </row>
    <row r="482" spans="1:7">
      <c r="A482" s="123" t="s">
        <v>19</v>
      </c>
      <c r="B482" s="123" t="s">
        <v>84</v>
      </c>
      <c r="C482" s="122">
        <v>2520420300</v>
      </c>
      <c r="D482" s="123"/>
      <c r="E482" s="56" t="s">
        <v>331</v>
      </c>
      <c r="F482" s="21">
        <f>F483</f>
        <v>130</v>
      </c>
      <c r="G482" s="21">
        <f t="shared" si="132"/>
        <v>129.5</v>
      </c>
    </row>
    <row r="483" spans="1:7" ht="31.5">
      <c r="A483" s="123" t="s">
        <v>19</v>
      </c>
      <c r="B483" s="123" t="s">
        <v>84</v>
      </c>
      <c r="C483" s="122">
        <v>2520420300</v>
      </c>
      <c r="D483" s="122" t="s">
        <v>92</v>
      </c>
      <c r="E483" s="56" t="s">
        <v>93</v>
      </c>
      <c r="F483" s="21">
        <f>F484</f>
        <v>130</v>
      </c>
      <c r="G483" s="21">
        <f t="shared" si="132"/>
        <v>129.5</v>
      </c>
    </row>
    <row r="484" spans="1:7">
      <c r="A484" s="123" t="s">
        <v>19</v>
      </c>
      <c r="B484" s="123" t="s">
        <v>84</v>
      </c>
      <c r="C484" s="122">
        <v>2520420300</v>
      </c>
      <c r="D484" s="123">
        <v>610</v>
      </c>
      <c r="E484" s="56" t="s">
        <v>99</v>
      </c>
      <c r="F484" s="21">
        <v>130</v>
      </c>
      <c r="G484" s="21">
        <v>129.5</v>
      </c>
    </row>
    <row r="485" spans="1:7" ht="31.5">
      <c r="A485" s="151" t="s">
        <v>19</v>
      </c>
      <c r="B485" s="151" t="s">
        <v>84</v>
      </c>
      <c r="C485" s="150">
        <v>2520500000</v>
      </c>
      <c r="D485" s="151"/>
      <c r="E485" s="152" t="s">
        <v>341</v>
      </c>
      <c r="F485" s="21">
        <f>F486</f>
        <v>73</v>
      </c>
      <c r="G485" s="21">
        <f t="shared" ref="G485:G487" si="134">G486</f>
        <v>73</v>
      </c>
    </row>
    <row r="486" spans="1:7">
      <c r="A486" s="151" t="s">
        <v>19</v>
      </c>
      <c r="B486" s="151" t="s">
        <v>84</v>
      </c>
      <c r="C486" s="150">
        <v>2520520300</v>
      </c>
      <c r="D486" s="151"/>
      <c r="E486" s="152" t="s">
        <v>342</v>
      </c>
      <c r="F486" s="21">
        <f>F487</f>
        <v>73</v>
      </c>
      <c r="G486" s="21">
        <f t="shared" si="134"/>
        <v>73</v>
      </c>
    </row>
    <row r="487" spans="1:7" ht="31.5">
      <c r="A487" s="151" t="s">
        <v>19</v>
      </c>
      <c r="B487" s="151" t="s">
        <v>84</v>
      </c>
      <c r="C487" s="150">
        <v>2520520300</v>
      </c>
      <c r="D487" s="150" t="s">
        <v>92</v>
      </c>
      <c r="E487" s="56" t="s">
        <v>93</v>
      </c>
      <c r="F487" s="21">
        <f>F488</f>
        <v>73</v>
      </c>
      <c r="G487" s="21">
        <f t="shared" si="134"/>
        <v>73</v>
      </c>
    </row>
    <row r="488" spans="1:7">
      <c r="A488" s="151" t="s">
        <v>19</v>
      </c>
      <c r="B488" s="151" t="s">
        <v>84</v>
      </c>
      <c r="C488" s="150">
        <v>2520520300</v>
      </c>
      <c r="D488" s="151">
        <v>610</v>
      </c>
      <c r="E488" s="56" t="s">
        <v>99</v>
      </c>
      <c r="F488" s="21">
        <v>73</v>
      </c>
      <c r="G488" s="21">
        <v>73</v>
      </c>
    </row>
    <row r="489" spans="1:7" ht="31.5">
      <c r="A489" s="151" t="s">
        <v>19</v>
      </c>
      <c r="B489" s="151" t="s">
        <v>84</v>
      </c>
      <c r="C489" s="150">
        <v>2520600000</v>
      </c>
      <c r="D489" s="151"/>
      <c r="E489" s="152" t="s">
        <v>340</v>
      </c>
      <c r="F489" s="21">
        <f>F490</f>
        <v>44.5</v>
      </c>
      <c r="G489" s="21">
        <f t="shared" ref="G489:G490" si="135">G490</f>
        <v>44.5</v>
      </c>
    </row>
    <row r="490" spans="1:7">
      <c r="A490" s="151" t="s">
        <v>19</v>
      </c>
      <c r="B490" s="151" t="s">
        <v>84</v>
      </c>
      <c r="C490" s="150">
        <v>2520620200</v>
      </c>
      <c r="D490" s="151"/>
      <c r="E490" s="152" t="s">
        <v>275</v>
      </c>
      <c r="F490" s="21">
        <f>F491</f>
        <v>44.5</v>
      </c>
      <c r="G490" s="21">
        <f t="shared" si="135"/>
        <v>44.5</v>
      </c>
    </row>
    <row r="491" spans="1:7" ht="31.5">
      <c r="A491" s="151" t="s">
        <v>19</v>
      </c>
      <c r="B491" s="151" t="s">
        <v>84</v>
      </c>
      <c r="C491" s="150">
        <v>2520620200</v>
      </c>
      <c r="D491" s="150" t="s">
        <v>92</v>
      </c>
      <c r="E491" s="56" t="s">
        <v>93</v>
      </c>
      <c r="F491" s="21">
        <f>F492</f>
        <v>44.5</v>
      </c>
      <c r="G491" s="21">
        <f>G492</f>
        <v>44.5</v>
      </c>
    </row>
    <row r="492" spans="1:7">
      <c r="A492" s="151" t="s">
        <v>19</v>
      </c>
      <c r="B492" s="151" t="s">
        <v>84</v>
      </c>
      <c r="C492" s="150">
        <v>2520620200</v>
      </c>
      <c r="D492" s="151">
        <v>610</v>
      </c>
      <c r="E492" s="56" t="s">
        <v>99</v>
      </c>
      <c r="F492" s="21">
        <v>44.5</v>
      </c>
      <c r="G492" s="21">
        <v>44.5</v>
      </c>
    </row>
    <row r="493" spans="1:7">
      <c r="A493" s="98" t="s">
        <v>19</v>
      </c>
      <c r="B493" s="98">
        <v>1103</v>
      </c>
      <c r="C493" s="98" t="s">
        <v>64</v>
      </c>
      <c r="D493" s="98" t="s">
        <v>64</v>
      </c>
      <c r="E493" s="99" t="s">
        <v>245</v>
      </c>
      <c r="F493" s="21">
        <f>F494+F513</f>
        <v>24540.799999999999</v>
      </c>
      <c r="G493" s="21">
        <f>G494+G513</f>
        <v>24457.7</v>
      </c>
    </row>
    <row r="494" spans="1:7" ht="47.25">
      <c r="A494" s="98" t="s">
        <v>19</v>
      </c>
      <c r="B494" s="98">
        <v>1103</v>
      </c>
      <c r="C494" s="100">
        <v>2200000000</v>
      </c>
      <c r="D494" s="98"/>
      <c r="E494" s="99" t="s">
        <v>311</v>
      </c>
      <c r="F494" s="21">
        <f>F495</f>
        <v>23104.6</v>
      </c>
      <c r="G494" s="21">
        <f>G495</f>
        <v>23037</v>
      </c>
    </row>
    <row r="495" spans="1:7" ht="31.5">
      <c r="A495" s="98" t="s">
        <v>19</v>
      </c>
      <c r="B495" s="98">
        <v>1103</v>
      </c>
      <c r="C495" s="98">
        <v>2250000000</v>
      </c>
      <c r="D495" s="98"/>
      <c r="E495" s="99" t="s">
        <v>246</v>
      </c>
      <c r="F495" s="21">
        <f>F496+F506</f>
        <v>23104.6</v>
      </c>
      <c r="G495" s="21">
        <f>G496+G506</f>
        <v>23037</v>
      </c>
    </row>
    <row r="496" spans="1:7" ht="39.6" customHeight="1">
      <c r="A496" s="98" t="s">
        <v>19</v>
      </c>
      <c r="B496" s="98">
        <v>1103</v>
      </c>
      <c r="C496" s="98">
        <v>2250100000</v>
      </c>
      <c r="D496" s="98"/>
      <c r="E496" s="99" t="s">
        <v>247</v>
      </c>
      <c r="F496" s="21">
        <f>F500+F497+F503</f>
        <v>17637.999999999996</v>
      </c>
      <c r="G496" s="21">
        <f t="shared" ref="G496" si="136">G500+G497+G503</f>
        <v>17570.399999999998</v>
      </c>
    </row>
    <row r="497" spans="1:7" ht="63">
      <c r="A497" s="212" t="s">
        <v>19</v>
      </c>
      <c r="B497" s="212">
        <v>1103</v>
      </c>
      <c r="C497" s="212">
        <v>2250111430</v>
      </c>
      <c r="D497" s="212"/>
      <c r="E497" s="42" t="s">
        <v>406</v>
      </c>
      <c r="F497" s="21">
        <f>F498</f>
        <v>311.60000000000002</v>
      </c>
      <c r="G497" s="21">
        <f t="shared" ref="G497:G498" si="137">G498</f>
        <v>244.6</v>
      </c>
    </row>
    <row r="498" spans="1:7" ht="39.6" customHeight="1">
      <c r="A498" s="212" t="s">
        <v>19</v>
      </c>
      <c r="B498" s="212">
        <v>1103</v>
      </c>
      <c r="C498" s="212">
        <v>2250111430</v>
      </c>
      <c r="D498" s="211" t="s">
        <v>92</v>
      </c>
      <c r="E498" s="213" t="s">
        <v>93</v>
      </c>
      <c r="F498" s="21">
        <f>F499</f>
        <v>311.60000000000002</v>
      </c>
      <c r="G498" s="21">
        <f t="shared" si="137"/>
        <v>244.6</v>
      </c>
    </row>
    <row r="499" spans="1:7" ht="39.6" customHeight="1">
      <c r="A499" s="212" t="s">
        <v>19</v>
      </c>
      <c r="B499" s="212">
        <v>1103</v>
      </c>
      <c r="C499" s="212">
        <v>2250111430</v>
      </c>
      <c r="D499" s="212">
        <v>610</v>
      </c>
      <c r="E499" s="213" t="s">
        <v>99</v>
      </c>
      <c r="F499" s="21">
        <v>311.60000000000002</v>
      </c>
      <c r="G499" s="21">
        <v>244.6</v>
      </c>
    </row>
    <row r="500" spans="1:7" ht="31.5">
      <c r="A500" s="98" t="s">
        <v>19</v>
      </c>
      <c r="B500" s="98">
        <v>1103</v>
      </c>
      <c r="C500" s="98">
        <v>2250120010</v>
      </c>
      <c r="D500" s="98"/>
      <c r="E500" s="99" t="s">
        <v>118</v>
      </c>
      <c r="F500" s="21">
        <f>F501</f>
        <v>17323.3</v>
      </c>
      <c r="G500" s="21">
        <f t="shared" ref="G500:G501" si="138">G501</f>
        <v>17323.3</v>
      </c>
    </row>
    <row r="501" spans="1:7" ht="31.5">
      <c r="A501" s="98" t="s">
        <v>19</v>
      </c>
      <c r="B501" s="98">
        <v>1103</v>
      </c>
      <c r="C501" s="119">
        <v>2250120010</v>
      </c>
      <c r="D501" s="100" t="s">
        <v>92</v>
      </c>
      <c r="E501" s="99" t="s">
        <v>93</v>
      </c>
      <c r="F501" s="21">
        <f>F502</f>
        <v>17323.3</v>
      </c>
      <c r="G501" s="21">
        <f t="shared" si="138"/>
        <v>17323.3</v>
      </c>
    </row>
    <row r="502" spans="1:7">
      <c r="A502" s="98" t="s">
        <v>19</v>
      </c>
      <c r="B502" s="98">
        <v>1103</v>
      </c>
      <c r="C502" s="119">
        <v>2250120010</v>
      </c>
      <c r="D502" s="98">
        <v>610</v>
      </c>
      <c r="E502" s="99" t="s">
        <v>99</v>
      </c>
      <c r="F502" s="21">
        <f>16184.3+521.7+27+446.3+147.1-3.1</f>
        <v>17323.3</v>
      </c>
      <c r="G502" s="21">
        <v>17323.3</v>
      </c>
    </row>
    <row r="503" spans="1:7" ht="63">
      <c r="A503" s="212" t="s">
        <v>19</v>
      </c>
      <c r="B503" s="212">
        <v>1103</v>
      </c>
      <c r="C503" s="212" t="s">
        <v>407</v>
      </c>
      <c r="D503" s="212"/>
      <c r="E503" s="42" t="s">
        <v>408</v>
      </c>
      <c r="F503" s="21">
        <f>F504</f>
        <v>3.1</v>
      </c>
      <c r="G503" s="21">
        <f t="shared" ref="G503:G504" si="139">G504</f>
        <v>2.5</v>
      </c>
    </row>
    <row r="504" spans="1:7" ht="31.5">
      <c r="A504" s="212" t="s">
        <v>19</v>
      </c>
      <c r="B504" s="212">
        <v>1103</v>
      </c>
      <c r="C504" s="212" t="s">
        <v>407</v>
      </c>
      <c r="D504" s="211" t="s">
        <v>92</v>
      </c>
      <c r="E504" s="213" t="s">
        <v>93</v>
      </c>
      <c r="F504" s="21">
        <f>F505</f>
        <v>3.1</v>
      </c>
      <c r="G504" s="21">
        <f t="shared" si="139"/>
        <v>2.5</v>
      </c>
    </row>
    <row r="505" spans="1:7">
      <c r="A505" s="212" t="s">
        <v>19</v>
      </c>
      <c r="B505" s="212">
        <v>1103</v>
      </c>
      <c r="C505" s="212" t="s">
        <v>407</v>
      </c>
      <c r="D505" s="212">
        <v>610</v>
      </c>
      <c r="E505" s="213" t="s">
        <v>99</v>
      </c>
      <c r="F505" s="21">
        <v>3.1</v>
      </c>
      <c r="G505" s="21">
        <v>2.5</v>
      </c>
    </row>
    <row r="506" spans="1:7" ht="47.25">
      <c r="A506" s="141" t="s">
        <v>19</v>
      </c>
      <c r="B506" s="141">
        <v>1103</v>
      </c>
      <c r="C506" s="141">
        <v>2250200000</v>
      </c>
      <c r="D506" s="141"/>
      <c r="E506" s="142" t="s">
        <v>349</v>
      </c>
      <c r="F506" s="21">
        <f>F510+F507</f>
        <v>5466.6</v>
      </c>
      <c r="G506" s="21">
        <f t="shared" ref="G506" si="140">G510+G507</f>
        <v>5466.6</v>
      </c>
    </row>
    <row r="507" spans="1:7" ht="78.75">
      <c r="A507" s="171" t="s">
        <v>19</v>
      </c>
      <c r="B507" s="171">
        <v>1103</v>
      </c>
      <c r="C507" s="110">
        <v>2250210480</v>
      </c>
      <c r="D507" s="171"/>
      <c r="E507" s="115" t="s">
        <v>369</v>
      </c>
      <c r="F507" s="21">
        <f t="shared" ref="F507:G508" si="141">F508</f>
        <v>2733.3</v>
      </c>
      <c r="G507" s="21">
        <f t="shared" si="141"/>
        <v>2733.3</v>
      </c>
    </row>
    <row r="508" spans="1:7" ht="31.5">
      <c r="A508" s="171" t="s">
        <v>19</v>
      </c>
      <c r="B508" s="171">
        <v>1103</v>
      </c>
      <c r="C508" s="110">
        <v>2250210480</v>
      </c>
      <c r="D508" s="170" t="s">
        <v>92</v>
      </c>
      <c r="E508" s="172" t="s">
        <v>93</v>
      </c>
      <c r="F508" s="21">
        <f t="shared" si="141"/>
        <v>2733.3</v>
      </c>
      <c r="G508" s="21">
        <f t="shared" si="141"/>
        <v>2733.3</v>
      </c>
    </row>
    <row r="509" spans="1:7">
      <c r="A509" s="171" t="s">
        <v>19</v>
      </c>
      <c r="B509" s="171">
        <v>1103</v>
      </c>
      <c r="C509" s="110">
        <v>2250210480</v>
      </c>
      <c r="D509" s="171">
        <v>610</v>
      </c>
      <c r="E509" s="172" t="s">
        <v>99</v>
      </c>
      <c r="F509" s="21">
        <v>2733.3</v>
      </c>
      <c r="G509" s="21">
        <v>2733.3</v>
      </c>
    </row>
    <row r="510" spans="1:7" ht="78.75">
      <c r="A510" s="111" t="s">
        <v>19</v>
      </c>
      <c r="B510" s="111">
        <v>1103</v>
      </c>
      <c r="C510" s="110" t="s">
        <v>339</v>
      </c>
      <c r="D510" s="111"/>
      <c r="E510" s="115" t="s">
        <v>288</v>
      </c>
      <c r="F510" s="21">
        <f>F511</f>
        <v>2733.3</v>
      </c>
      <c r="G510" s="21">
        <f>G511</f>
        <v>2733.3</v>
      </c>
    </row>
    <row r="511" spans="1:7" ht="31.5">
      <c r="A511" s="111" t="s">
        <v>19</v>
      </c>
      <c r="B511" s="111">
        <v>1103</v>
      </c>
      <c r="C511" s="110" t="s">
        <v>339</v>
      </c>
      <c r="D511" s="113" t="s">
        <v>92</v>
      </c>
      <c r="E511" s="112" t="s">
        <v>93</v>
      </c>
      <c r="F511" s="21">
        <f t="shared" ref="F511:G511" si="142">F512</f>
        <v>2733.3</v>
      </c>
      <c r="G511" s="21">
        <f t="shared" si="142"/>
        <v>2733.3</v>
      </c>
    </row>
    <row r="512" spans="1:7">
      <c r="A512" s="111" t="s">
        <v>19</v>
      </c>
      <c r="B512" s="111">
        <v>1103</v>
      </c>
      <c r="C512" s="110" t="s">
        <v>339</v>
      </c>
      <c r="D512" s="111">
        <v>610</v>
      </c>
      <c r="E512" s="112" t="s">
        <v>99</v>
      </c>
      <c r="F512" s="21">
        <f>2757.8-24.5</f>
        <v>2733.3</v>
      </c>
      <c r="G512" s="21">
        <v>2733.3</v>
      </c>
    </row>
    <row r="513" spans="1:7" ht="31.5">
      <c r="A513" s="98" t="s">
        <v>19</v>
      </c>
      <c r="B513" s="98">
        <v>1103</v>
      </c>
      <c r="C513" s="100">
        <v>2500000000</v>
      </c>
      <c r="D513" s="98"/>
      <c r="E513" s="99" t="s">
        <v>312</v>
      </c>
      <c r="F513" s="21">
        <f>F514</f>
        <v>1436.2</v>
      </c>
      <c r="G513" s="21">
        <f t="shared" ref="G513" si="143">G514</f>
        <v>1420.7</v>
      </c>
    </row>
    <row r="514" spans="1:7" ht="31.5">
      <c r="A514" s="98" t="s">
        <v>19</v>
      </c>
      <c r="B514" s="98">
        <v>1103</v>
      </c>
      <c r="C514" s="100">
        <v>2520000000</v>
      </c>
      <c r="D514" s="98"/>
      <c r="E514" s="99" t="s">
        <v>241</v>
      </c>
      <c r="F514" s="21">
        <f>F515+F519+F523</f>
        <v>1436.2</v>
      </c>
      <c r="G514" s="21">
        <f t="shared" ref="G514" si="144">G515+G519+G523</f>
        <v>1420.7</v>
      </c>
    </row>
    <row r="515" spans="1:7" ht="31.5">
      <c r="A515" s="123" t="s">
        <v>19</v>
      </c>
      <c r="B515" s="123">
        <v>1103</v>
      </c>
      <c r="C515" s="122">
        <v>2520400000</v>
      </c>
      <c r="D515" s="123"/>
      <c r="E515" s="56" t="s">
        <v>330</v>
      </c>
      <c r="F515" s="21">
        <f>F516</f>
        <v>65.5</v>
      </c>
      <c r="G515" s="21">
        <f t="shared" ref="G515:G517" si="145">G516</f>
        <v>59.8</v>
      </c>
    </row>
    <row r="516" spans="1:7">
      <c r="A516" s="123" t="s">
        <v>19</v>
      </c>
      <c r="B516" s="123">
        <v>1103</v>
      </c>
      <c r="C516" s="122">
        <v>2520420300</v>
      </c>
      <c r="D516" s="123"/>
      <c r="E516" s="56" t="s">
        <v>331</v>
      </c>
      <c r="F516" s="21">
        <f>F517</f>
        <v>65.5</v>
      </c>
      <c r="G516" s="21">
        <f t="shared" si="145"/>
        <v>59.8</v>
      </c>
    </row>
    <row r="517" spans="1:7" ht="31.5">
      <c r="A517" s="123" t="s">
        <v>19</v>
      </c>
      <c r="B517" s="123">
        <v>1103</v>
      </c>
      <c r="C517" s="122">
        <v>2520420300</v>
      </c>
      <c r="D517" s="122" t="s">
        <v>92</v>
      </c>
      <c r="E517" s="56" t="s">
        <v>93</v>
      </c>
      <c r="F517" s="21">
        <f>F518</f>
        <v>65.5</v>
      </c>
      <c r="G517" s="21">
        <f t="shared" si="145"/>
        <v>59.8</v>
      </c>
    </row>
    <row r="518" spans="1:7">
      <c r="A518" s="123" t="s">
        <v>19</v>
      </c>
      <c r="B518" s="123">
        <v>1103</v>
      </c>
      <c r="C518" s="122">
        <v>2520420300</v>
      </c>
      <c r="D518" s="123">
        <v>610</v>
      </c>
      <c r="E518" s="56" t="s">
        <v>99</v>
      </c>
      <c r="F518" s="21">
        <v>65.5</v>
      </c>
      <c r="G518" s="21">
        <v>59.8</v>
      </c>
    </row>
    <row r="519" spans="1:7" ht="31.5">
      <c r="A519" s="151" t="s">
        <v>19</v>
      </c>
      <c r="B519" s="151">
        <v>1103</v>
      </c>
      <c r="C519" s="150">
        <v>2520500000</v>
      </c>
      <c r="D519" s="151"/>
      <c r="E519" s="152" t="s">
        <v>341</v>
      </c>
      <c r="F519" s="21">
        <f>F520</f>
        <v>103.7</v>
      </c>
      <c r="G519" s="21">
        <f t="shared" ref="G519:G521" si="146">G520</f>
        <v>95.9</v>
      </c>
    </row>
    <row r="520" spans="1:7">
      <c r="A520" s="151" t="s">
        <v>19</v>
      </c>
      <c r="B520" s="151">
        <v>1103</v>
      </c>
      <c r="C520" s="150">
        <v>2520520300</v>
      </c>
      <c r="D520" s="151"/>
      <c r="E520" s="152" t="s">
        <v>342</v>
      </c>
      <c r="F520" s="21">
        <f>F521</f>
        <v>103.7</v>
      </c>
      <c r="G520" s="21">
        <f t="shared" si="146"/>
        <v>95.9</v>
      </c>
    </row>
    <row r="521" spans="1:7" ht="31.5">
      <c r="A521" s="151" t="s">
        <v>19</v>
      </c>
      <c r="B521" s="151">
        <v>1103</v>
      </c>
      <c r="C521" s="150">
        <v>2520520300</v>
      </c>
      <c r="D521" s="150" t="s">
        <v>92</v>
      </c>
      <c r="E521" s="56" t="s">
        <v>93</v>
      </c>
      <c r="F521" s="21">
        <f>F522</f>
        <v>103.7</v>
      </c>
      <c r="G521" s="21">
        <f t="shared" si="146"/>
        <v>95.9</v>
      </c>
    </row>
    <row r="522" spans="1:7">
      <c r="A522" s="151" t="s">
        <v>19</v>
      </c>
      <c r="B522" s="151">
        <v>1103</v>
      </c>
      <c r="C522" s="150">
        <v>2520520300</v>
      </c>
      <c r="D522" s="151">
        <v>610</v>
      </c>
      <c r="E522" s="56" t="s">
        <v>99</v>
      </c>
      <c r="F522" s="21">
        <f>85.5+18.2</f>
        <v>103.7</v>
      </c>
      <c r="G522" s="21">
        <v>95.9</v>
      </c>
    </row>
    <row r="523" spans="1:7" ht="31.5">
      <c r="A523" s="151" t="s">
        <v>19</v>
      </c>
      <c r="B523" s="151">
        <v>1103</v>
      </c>
      <c r="C523" s="150">
        <v>2520600000</v>
      </c>
      <c r="D523" s="151"/>
      <c r="E523" s="152" t="s">
        <v>340</v>
      </c>
      <c r="F523" s="21">
        <f>F524</f>
        <v>1267</v>
      </c>
      <c r="G523" s="21">
        <f t="shared" ref="G523:G525" si="147">G524</f>
        <v>1265</v>
      </c>
    </row>
    <row r="524" spans="1:7">
      <c r="A524" s="151" t="s">
        <v>19</v>
      </c>
      <c r="B524" s="151">
        <v>1103</v>
      </c>
      <c r="C524" s="150">
        <v>2520620200</v>
      </c>
      <c r="D524" s="151"/>
      <c r="E524" s="152" t="s">
        <v>275</v>
      </c>
      <c r="F524" s="21">
        <f>F525</f>
        <v>1267</v>
      </c>
      <c r="G524" s="21">
        <f t="shared" si="147"/>
        <v>1265</v>
      </c>
    </row>
    <row r="525" spans="1:7" ht="31.5">
      <c r="A525" s="151" t="s">
        <v>19</v>
      </c>
      <c r="B525" s="151">
        <v>1103</v>
      </c>
      <c r="C525" s="150">
        <v>2520620200</v>
      </c>
      <c r="D525" s="150" t="s">
        <v>92</v>
      </c>
      <c r="E525" s="56" t="s">
        <v>93</v>
      </c>
      <c r="F525" s="21">
        <f>F526</f>
        <v>1267</v>
      </c>
      <c r="G525" s="21">
        <f t="shared" si="147"/>
        <v>1265</v>
      </c>
    </row>
    <row r="526" spans="1:7">
      <c r="A526" s="151" t="s">
        <v>19</v>
      </c>
      <c r="B526" s="151">
        <v>1103</v>
      </c>
      <c r="C526" s="150">
        <v>2520620200</v>
      </c>
      <c r="D526" s="151">
        <v>610</v>
      </c>
      <c r="E526" s="56" t="s">
        <v>99</v>
      </c>
      <c r="F526" s="21">
        <v>1267</v>
      </c>
      <c r="G526" s="21">
        <v>1265</v>
      </c>
    </row>
    <row r="527" spans="1:7">
      <c r="A527" s="98" t="s">
        <v>19</v>
      </c>
      <c r="B527" s="98" t="s">
        <v>88</v>
      </c>
      <c r="C527" s="98" t="s">
        <v>64</v>
      </c>
      <c r="D527" s="98" t="s">
        <v>64</v>
      </c>
      <c r="E527" s="42" t="s">
        <v>61</v>
      </c>
      <c r="F527" s="21">
        <f>F528</f>
        <v>2101.6999999999998</v>
      </c>
      <c r="G527" s="21">
        <f t="shared" ref="G527:G530" si="148">G528</f>
        <v>2043.7</v>
      </c>
    </row>
    <row r="528" spans="1:7">
      <c r="A528" s="98" t="s">
        <v>19</v>
      </c>
      <c r="B528" s="98" t="s">
        <v>62</v>
      </c>
      <c r="C528" s="98" t="s">
        <v>64</v>
      </c>
      <c r="D528" s="98" t="s">
        <v>64</v>
      </c>
      <c r="E528" s="99" t="s">
        <v>63</v>
      </c>
      <c r="F528" s="21">
        <f>F529</f>
        <v>2101.6999999999998</v>
      </c>
      <c r="G528" s="21">
        <f t="shared" si="148"/>
        <v>2043.7</v>
      </c>
    </row>
    <row r="529" spans="1:7" ht="47.25">
      <c r="A529" s="98" t="s">
        <v>19</v>
      </c>
      <c r="B529" s="98" t="s">
        <v>62</v>
      </c>
      <c r="C529" s="100">
        <v>2200000000</v>
      </c>
      <c r="D529" s="98"/>
      <c r="E529" s="99" t="s">
        <v>311</v>
      </c>
      <c r="F529" s="21">
        <f>F530</f>
        <v>2101.6999999999998</v>
      </c>
      <c r="G529" s="21">
        <f t="shared" si="148"/>
        <v>2043.7</v>
      </c>
    </row>
    <row r="530" spans="1:7" ht="31.5">
      <c r="A530" s="98" t="s">
        <v>19</v>
      </c>
      <c r="B530" s="98" t="s">
        <v>62</v>
      </c>
      <c r="C530" s="100">
        <v>2240000000</v>
      </c>
      <c r="D530" s="98"/>
      <c r="E530" s="99" t="s">
        <v>127</v>
      </c>
      <c r="F530" s="21">
        <f>F531</f>
        <v>2101.6999999999998</v>
      </c>
      <c r="G530" s="21">
        <f t="shared" si="148"/>
        <v>2043.7</v>
      </c>
    </row>
    <row r="531" spans="1:7">
      <c r="A531" s="98" t="s">
        <v>19</v>
      </c>
      <c r="B531" s="98" t="s">
        <v>62</v>
      </c>
      <c r="C531" s="98">
        <v>2240300000</v>
      </c>
      <c r="D531" s="98"/>
      <c r="E531" s="99" t="s">
        <v>183</v>
      </c>
      <c r="F531" s="21">
        <f>F538+F535+F532</f>
        <v>2101.6999999999998</v>
      </c>
      <c r="G531" s="21">
        <f>G538+G535+G532</f>
        <v>2043.7</v>
      </c>
    </row>
    <row r="532" spans="1:7" ht="47.25">
      <c r="A532" s="98" t="s">
        <v>19</v>
      </c>
      <c r="B532" s="98" t="s">
        <v>62</v>
      </c>
      <c r="C532" s="98">
        <v>2240310320</v>
      </c>
      <c r="D532" s="98"/>
      <c r="E532" s="56" t="s">
        <v>237</v>
      </c>
      <c r="F532" s="21">
        <f t="shared" ref="F532:G533" si="149">F533</f>
        <v>490.7</v>
      </c>
      <c r="G532" s="21">
        <f t="shared" si="149"/>
        <v>490.7</v>
      </c>
    </row>
    <row r="533" spans="1:7" ht="31.5">
      <c r="A533" s="98" t="s">
        <v>19</v>
      </c>
      <c r="B533" s="98" t="s">
        <v>62</v>
      </c>
      <c r="C533" s="98">
        <v>2240310320</v>
      </c>
      <c r="D533" s="100" t="s">
        <v>92</v>
      </c>
      <c r="E533" s="99" t="s">
        <v>93</v>
      </c>
      <c r="F533" s="21">
        <f t="shared" si="149"/>
        <v>490.7</v>
      </c>
      <c r="G533" s="21">
        <f t="shared" si="149"/>
        <v>490.7</v>
      </c>
    </row>
    <row r="534" spans="1:7" ht="31.5">
      <c r="A534" s="98" t="s">
        <v>19</v>
      </c>
      <c r="B534" s="98" t="s">
        <v>62</v>
      </c>
      <c r="C534" s="98">
        <v>2240310320</v>
      </c>
      <c r="D534" s="98">
        <v>630</v>
      </c>
      <c r="E534" s="99" t="s">
        <v>138</v>
      </c>
      <c r="F534" s="17">
        <f>466.5+24.2</f>
        <v>490.7</v>
      </c>
      <c r="G534" s="17">
        <v>490.7</v>
      </c>
    </row>
    <row r="535" spans="1:7" ht="47.25">
      <c r="A535" s="98" t="s">
        <v>19</v>
      </c>
      <c r="B535" s="98" t="s">
        <v>62</v>
      </c>
      <c r="C535" s="98">
        <v>2240320400</v>
      </c>
      <c r="D535" s="98"/>
      <c r="E535" s="99" t="s">
        <v>238</v>
      </c>
      <c r="F535" s="21">
        <f t="shared" ref="F535:G536" si="150">F536</f>
        <v>656</v>
      </c>
      <c r="G535" s="21">
        <f t="shared" si="150"/>
        <v>598</v>
      </c>
    </row>
    <row r="536" spans="1:7" ht="31.5">
      <c r="A536" s="98" t="s">
        <v>19</v>
      </c>
      <c r="B536" s="98" t="s">
        <v>62</v>
      </c>
      <c r="C536" s="98">
        <v>2240320400</v>
      </c>
      <c r="D536" s="100" t="s">
        <v>67</v>
      </c>
      <c r="E536" s="99" t="s">
        <v>90</v>
      </c>
      <c r="F536" s="21">
        <f t="shared" si="150"/>
        <v>656</v>
      </c>
      <c r="G536" s="21">
        <f t="shared" si="150"/>
        <v>598</v>
      </c>
    </row>
    <row r="537" spans="1:7" ht="31.5">
      <c r="A537" s="98" t="s">
        <v>19</v>
      </c>
      <c r="B537" s="98" t="s">
        <v>62</v>
      </c>
      <c r="C537" s="98">
        <v>2240320400</v>
      </c>
      <c r="D537" s="98">
        <v>240</v>
      </c>
      <c r="E537" s="99" t="s">
        <v>216</v>
      </c>
      <c r="F537" s="21">
        <v>656</v>
      </c>
      <c r="G537" s="21">
        <v>598</v>
      </c>
    </row>
    <row r="538" spans="1:7" ht="47.25">
      <c r="A538" s="98" t="s">
        <v>19</v>
      </c>
      <c r="B538" s="98" t="s">
        <v>62</v>
      </c>
      <c r="C538" s="98" t="s">
        <v>305</v>
      </c>
      <c r="D538" s="98"/>
      <c r="E538" s="99" t="s">
        <v>140</v>
      </c>
      <c r="F538" s="21">
        <f t="shared" ref="F538:G539" si="151">F539</f>
        <v>955</v>
      </c>
      <c r="G538" s="21">
        <f t="shared" si="151"/>
        <v>955</v>
      </c>
    </row>
    <row r="539" spans="1:7" ht="31.5">
      <c r="A539" s="98" t="s">
        <v>19</v>
      </c>
      <c r="B539" s="98" t="s">
        <v>62</v>
      </c>
      <c r="C539" s="119" t="s">
        <v>305</v>
      </c>
      <c r="D539" s="100" t="s">
        <v>92</v>
      </c>
      <c r="E539" s="99" t="s">
        <v>93</v>
      </c>
      <c r="F539" s="21">
        <f t="shared" si="151"/>
        <v>955</v>
      </c>
      <c r="G539" s="21">
        <f t="shared" si="151"/>
        <v>955</v>
      </c>
    </row>
    <row r="540" spans="1:7" ht="31.5">
      <c r="A540" s="98" t="s">
        <v>19</v>
      </c>
      <c r="B540" s="98" t="s">
        <v>62</v>
      </c>
      <c r="C540" s="119" t="s">
        <v>305</v>
      </c>
      <c r="D540" s="98">
        <v>630</v>
      </c>
      <c r="E540" s="99" t="s">
        <v>138</v>
      </c>
      <c r="F540" s="21">
        <f>636.5+318.5</f>
        <v>955</v>
      </c>
      <c r="G540" s="21">
        <v>955</v>
      </c>
    </row>
    <row r="541" spans="1:7">
      <c r="A541" s="16" t="s">
        <v>35</v>
      </c>
      <c r="B541" s="24" t="s">
        <v>64</v>
      </c>
      <c r="C541" s="24" t="s">
        <v>64</v>
      </c>
      <c r="D541" s="24" t="s">
        <v>64</v>
      </c>
      <c r="E541" s="40" t="s">
        <v>269</v>
      </c>
      <c r="F541" s="26">
        <f>F542</f>
        <v>11921.800000000001</v>
      </c>
      <c r="G541" s="26">
        <f t="shared" ref="G541" si="152">G542</f>
        <v>9079.7000000000007</v>
      </c>
    </row>
    <row r="542" spans="1:7">
      <c r="A542" s="98" t="s">
        <v>35</v>
      </c>
      <c r="B542" s="98" t="s">
        <v>53</v>
      </c>
      <c r="C542" s="98" t="s">
        <v>64</v>
      </c>
      <c r="D542" s="98" t="s">
        <v>64</v>
      </c>
      <c r="E542" s="46" t="s">
        <v>20</v>
      </c>
      <c r="F542" s="21">
        <f>F543+F555</f>
        <v>11921.800000000001</v>
      </c>
      <c r="G542" s="21">
        <f>G543+G555</f>
        <v>9079.7000000000007</v>
      </c>
    </row>
    <row r="543" spans="1:7" ht="33.75" customHeight="1">
      <c r="A543" s="98" t="s">
        <v>35</v>
      </c>
      <c r="B543" s="98" t="s">
        <v>45</v>
      </c>
      <c r="C543" s="98" t="s">
        <v>64</v>
      </c>
      <c r="D543" s="98" t="s">
        <v>64</v>
      </c>
      <c r="E543" s="99" t="s">
        <v>7</v>
      </c>
      <c r="F543" s="21">
        <f>F544</f>
        <v>9094.7000000000007</v>
      </c>
      <c r="G543" s="21">
        <f t="shared" ref="G543:G545" si="153">G544</f>
        <v>9079.7000000000007</v>
      </c>
    </row>
    <row r="544" spans="1:7">
      <c r="A544" s="98" t="s">
        <v>35</v>
      </c>
      <c r="B544" s="98" t="s">
        <v>45</v>
      </c>
      <c r="C544" s="98">
        <v>9900000000</v>
      </c>
      <c r="D544" s="98"/>
      <c r="E544" s="99" t="s">
        <v>100</v>
      </c>
      <c r="F544" s="21">
        <f>F545</f>
        <v>9094.7000000000007</v>
      </c>
      <c r="G544" s="21">
        <f t="shared" si="153"/>
        <v>9079.7000000000007</v>
      </c>
    </row>
    <row r="545" spans="1:7" ht="31.5">
      <c r="A545" s="98" t="s">
        <v>35</v>
      </c>
      <c r="B545" s="98" t="s">
        <v>45</v>
      </c>
      <c r="C545" s="98">
        <v>9990000000</v>
      </c>
      <c r="D545" s="98"/>
      <c r="E545" s="99" t="s">
        <v>141</v>
      </c>
      <c r="F545" s="21">
        <f>F546</f>
        <v>9094.7000000000007</v>
      </c>
      <c r="G545" s="21">
        <f t="shared" si="153"/>
        <v>9079.7000000000007</v>
      </c>
    </row>
    <row r="546" spans="1:7" ht="31.5">
      <c r="A546" s="98" t="s">
        <v>35</v>
      </c>
      <c r="B546" s="98" t="s">
        <v>45</v>
      </c>
      <c r="C546" s="98">
        <v>9990200000</v>
      </c>
      <c r="D546" s="24"/>
      <c r="E546" s="99" t="s">
        <v>112</v>
      </c>
      <c r="F546" s="21">
        <f>F547+F552</f>
        <v>9094.7000000000007</v>
      </c>
      <c r="G546" s="21">
        <f t="shared" ref="G546" si="154">G547+G552</f>
        <v>9079.7000000000007</v>
      </c>
    </row>
    <row r="547" spans="1:7" ht="47.25">
      <c r="A547" s="98" t="s">
        <v>35</v>
      </c>
      <c r="B547" s="98" t="s">
        <v>45</v>
      </c>
      <c r="C547" s="98">
        <v>9990225000</v>
      </c>
      <c r="D547" s="98"/>
      <c r="E547" s="99" t="s">
        <v>113</v>
      </c>
      <c r="F547" s="21">
        <f>F548+F550</f>
        <v>8930.1</v>
      </c>
      <c r="G547" s="21">
        <f>G548+G550</f>
        <v>8930.1</v>
      </c>
    </row>
    <row r="548" spans="1:7" ht="63">
      <c r="A548" s="98" t="s">
        <v>35</v>
      </c>
      <c r="B548" s="98" t="s">
        <v>45</v>
      </c>
      <c r="C548" s="98">
        <v>9990225000</v>
      </c>
      <c r="D548" s="98" t="s">
        <v>66</v>
      </c>
      <c r="E548" s="99" t="s">
        <v>1</v>
      </c>
      <c r="F548" s="21">
        <f>F549</f>
        <v>8864.7000000000007</v>
      </c>
      <c r="G548" s="21">
        <f>G549</f>
        <v>8864.7000000000007</v>
      </c>
    </row>
    <row r="549" spans="1:7" ht="31.5">
      <c r="A549" s="98" t="s">
        <v>35</v>
      </c>
      <c r="B549" s="98" t="s">
        <v>45</v>
      </c>
      <c r="C549" s="98">
        <v>9990225000</v>
      </c>
      <c r="D549" s="98">
        <v>120</v>
      </c>
      <c r="E549" s="99" t="s">
        <v>217</v>
      </c>
      <c r="F549" s="21">
        <f>7995.2+439.8+141+228.7+60</f>
        <v>8864.7000000000007</v>
      </c>
      <c r="G549" s="21">
        <v>8864.7000000000007</v>
      </c>
    </row>
    <row r="550" spans="1:7">
      <c r="A550" s="98" t="s">
        <v>35</v>
      </c>
      <c r="B550" s="98" t="s">
        <v>45</v>
      </c>
      <c r="C550" s="98">
        <v>9990225000</v>
      </c>
      <c r="D550" s="98" t="s">
        <v>68</v>
      </c>
      <c r="E550" s="99" t="s">
        <v>69</v>
      </c>
      <c r="F550" s="21">
        <f>F551</f>
        <v>65.400000000000006</v>
      </c>
      <c r="G550" s="21">
        <f>G551</f>
        <v>65.400000000000006</v>
      </c>
    </row>
    <row r="551" spans="1:7">
      <c r="A551" s="98" t="s">
        <v>35</v>
      </c>
      <c r="B551" s="98" t="s">
        <v>45</v>
      </c>
      <c r="C551" s="98">
        <v>9990225000</v>
      </c>
      <c r="D551" s="98">
        <v>850</v>
      </c>
      <c r="E551" s="99" t="s">
        <v>95</v>
      </c>
      <c r="F551" s="21">
        <v>65.400000000000006</v>
      </c>
      <c r="G551" s="21">
        <v>65.400000000000006</v>
      </c>
    </row>
    <row r="552" spans="1:7" ht="47.25">
      <c r="A552" s="218" t="s">
        <v>35</v>
      </c>
      <c r="B552" s="218" t="s">
        <v>45</v>
      </c>
      <c r="C552" s="229">
        <v>9990255492</v>
      </c>
      <c r="D552" s="224"/>
      <c r="E552" s="225" t="s">
        <v>409</v>
      </c>
      <c r="F552" s="21">
        <f>F553</f>
        <v>164.6</v>
      </c>
      <c r="G552" s="21">
        <f t="shared" ref="G552:G553" si="155">G553</f>
        <v>149.6</v>
      </c>
    </row>
    <row r="553" spans="1:7" ht="63">
      <c r="A553" s="218" t="s">
        <v>35</v>
      </c>
      <c r="B553" s="218" t="s">
        <v>45</v>
      </c>
      <c r="C553" s="229">
        <v>9990255492</v>
      </c>
      <c r="D553" s="224" t="s">
        <v>66</v>
      </c>
      <c r="E553" s="225" t="s">
        <v>1</v>
      </c>
      <c r="F553" s="21">
        <f>F554</f>
        <v>164.6</v>
      </c>
      <c r="G553" s="21">
        <f t="shared" si="155"/>
        <v>149.6</v>
      </c>
    </row>
    <row r="554" spans="1:7" ht="31.5">
      <c r="A554" s="218" t="s">
        <v>35</v>
      </c>
      <c r="B554" s="218" t="s">
        <v>45</v>
      </c>
      <c r="C554" s="229">
        <v>9990255492</v>
      </c>
      <c r="D554" s="224">
        <v>120</v>
      </c>
      <c r="E554" s="225" t="s">
        <v>217</v>
      </c>
      <c r="F554" s="21">
        <v>164.6</v>
      </c>
      <c r="G554" s="21">
        <v>149.6</v>
      </c>
    </row>
    <row r="555" spans="1:7">
      <c r="A555" s="98" t="s">
        <v>35</v>
      </c>
      <c r="B555" s="98" t="s">
        <v>46</v>
      </c>
      <c r="C555" s="98"/>
      <c r="D555" s="98"/>
      <c r="E555" s="99" t="s">
        <v>8</v>
      </c>
      <c r="F555" s="21">
        <f>F556</f>
        <v>2827.1</v>
      </c>
      <c r="G555" s="21">
        <f t="shared" ref="G555:G559" si="156">G556</f>
        <v>0</v>
      </c>
    </row>
    <row r="556" spans="1:7">
      <c r="A556" s="98" t="s">
        <v>35</v>
      </c>
      <c r="B556" s="98" t="s">
        <v>46</v>
      </c>
      <c r="C556" s="98">
        <v>9900000000</v>
      </c>
      <c r="D556" s="98"/>
      <c r="E556" s="99" t="s">
        <v>100</v>
      </c>
      <c r="F556" s="21">
        <f>F557</f>
        <v>2827.1</v>
      </c>
      <c r="G556" s="21">
        <f t="shared" si="156"/>
        <v>0</v>
      </c>
    </row>
    <row r="557" spans="1:7">
      <c r="A557" s="98" t="s">
        <v>35</v>
      </c>
      <c r="B557" s="98" t="s">
        <v>46</v>
      </c>
      <c r="C557" s="98">
        <v>9910000000</v>
      </c>
      <c r="D557" s="98"/>
      <c r="E557" s="99" t="s">
        <v>8</v>
      </c>
      <c r="F557" s="21">
        <f>F558</f>
        <v>2827.1</v>
      </c>
      <c r="G557" s="21">
        <f t="shared" si="156"/>
        <v>0</v>
      </c>
    </row>
    <row r="558" spans="1:7">
      <c r="A558" s="98" t="s">
        <v>35</v>
      </c>
      <c r="B558" s="98" t="s">
        <v>46</v>
      </c>
      <c r="C558" s="98">
        <v>9910020000</v>
      </c>
      <c r="D558" s="98"/>
      <c r="E558" s="99" t="s">
        <v>276</v>
      </c>
      <c r="F558" s="21">
        <f>F559</f>
        <v>2827.1</v>
      </c>
      <c r="G558" s="21">
        <f t="shared" si="156"/>
        <v>0</v>
      </c>
    </row>
    <row r="559" spans="1:7">
      <c r="A559" s="98" t="s">
        <v>35</v>
      </c>
      <c r="B559" s="98" t="s">
        <v>46</v>
      </c>
      <c r="C559" s="98">
        <v>9910020000</v>
      </c>
      <c r="D559" s="100" t="s">
        <v>68</v>
      </c>
      <c r="E559" s="99" t="s">
        <v>69</v>
      </c>
      <c r="F559" s="21">
        <f>F560</f>
        <v>2827.1</v>
      </c>
      <c r="G559" s="21">
        <f t="shared" si="156"/>
        <v>0</v>
      </c>
    </row>
    <row r="560" spans="1:7">
      <c r="A560" s="98" t="s">
        <v>35</v>
      </c>
      <c r="B560" s="98" t="s">
        <v>46</v>
      </c>
      <c r="C560" s="98">
        <v>9910020000</v>
      </c>
      <c r="D560" s="2" t="s">
        <v>155</v>
      </c>
      <c r="E560" s="47" t="s">
        <v>156</v>
      </c>
      <c r="F560" s="21">
        <f>2000+1000-172.9</f>
        <v>2827.1</v>
      </c>
      <c r="G560" s="21">
        <v>0</v>
      </c>
    </row>
    <row r="561" spans="1:7" ht="31.5">
      <c r="A561" s="16" t="s">
        <v>33</v>
      </c>
      <c r="B561" s="24" t="s">
        <v>64</v>
      </c>
      <c r="C561" s="24" t="s">
        <v>64</v>
      </c>
      <c r="D561" s="24" t="s">
        <v>64</v>
      </c>
      <c r="E561" s="40" t="s">
        <v>273</v>
      </c>
      <c r="F561" s="26">
        <f>F562+F592+F600+F608</f>
        <v>30832.800000000003</v>
      </c>
      <c r="G561" s="26">
        <f>G562+G592+G600+G608</f>
        <v>28250.800000000003</v>
      </c>
    </row>
    <row r="562" spans="1:7">
      <c r="A562" s="100" t="s">
        <v>33</v>
      </c>
      <c r="B562" s="100" t="s">
        <v>53</v>
      </c>
      <c r="C562" s="100" t="s">
        <v>64</v>
      </c>
      <c r="D562" s="100" t="s">
        <v>64</v>
      </c>
      <c r="E562" s="46" t="s">
        <v>20</v>
      </c>
      <c r="F562" s="21">
        <f>F563</f>
        <v>12327.900000000001</v>
      </c>
      <c r="G562" s="21">
        <f>G563</f>
        <v>10174.800000000001</v>
      </c>
    </row>
    <row r="563" spans="1:7">
      <c r="A563" s="100" t="s">
        <v>33</v>
      </c>
      <c r="B563" s="100" t="s">
        <v>58</v>
      </c>
      <c r="C563" s="100" t="s">
        <v>64</v>
      </c>
      <c r="D563" s="100" t="s">
        <v>64</v>
      </c>
      <c r="E563" s="99" t="s">
        <v>23</v>
      </c>
      <c r="F563" s="21">
        <f>F564+F577</f>
        <v>12327.900000000001</v>
      </c>
      <c r="G563" s="21">
        <f>G564+G577</f>
        <v>10174.800000000001</v>
      </c>
    </row>
    <row r="564" spans="1:7" ht="47.25">
      <c r="A564" s="100" t="s">
        <v>33</v>
      </c>
      <c r="B564" s="100" t="s">
        <v>58</v>
      </c>
      <c r="C564" s="100">
        <v>2600000000</v>
      </c>
      <c r="D564" s="100"/>
      <c r="E564" s="124" t="s">
        <v>316</v>
      </c>
      <c r="F564" s="21">
        <f t="shared" ref="F564:G564" si="157">F565</f>
        <v>4942.1000000000004</v>
      </c>
      <c r="G564" s="21">
        <f t="shared" si="157"/>
        <v>2847.2000000000003</v>
      </c>
    </row>
    <row r="565" spans="1:7" ht="31.5">
      <c r="A565" s="100" t="s">
        <v>33</v>
      </c>
      <c r="B565" s="100" t="s">
        <v>58</v>
      </c>
      <c r="C565" s="100">
        <v>2610000000</v>
      </c>
      <c r="D565" s="100"/>
      <c r="E565" s="99" t="s">
        <v>102</v>
      </c>
      <c r="F565" s="21">
        <f>F566+F573</f>
        <v>4942.1000000000004</v>
      </c>
      <c r="G565" s="21">
        <f t="shared" ref="G565" si="158">G566+G573</f>
        <v>2847.2000000000003</v>
      </c>
    </row>
    <row r="566" spans="1:7">
      <c r="A566" s="100" t="s">
        <v>33</v>
      </c>
      <c r="B566" s="100" t="s">
        <v>58</v>
      </c>
      <c r="C566" s="100">
        <v>2610100000</v>
      </c>
      <c r="D566" s="100"/>
      <c r="E566" s="99" t="s">
        <v>103</v>
      </c>
      <c r="F566" s="21">
        <f>F567+F570</f>
        <v>3188.2</v>
      </c>
      <c r="G566" s="21">
        <f>G567+G570</f>
        <v>2847.2000000000003</v>
      </c>
    </row>
    <row r="567" spans="1:7">
      <c r="A567" s="100" t="s">
        <v>33</v>
      </c>
      <c r="B567" s="100" t="s">
        <v>58</v>
      </c>
      <c r="C567" s="100">
        <v>2610120210</v>
      </c>
      <c r="D567" s="18"/>
      <c r="E567" s="99" t="s">
        <v>104</v>
      </c>
      <c r="F567" s="21">
        <f t="shared" ref="F567:G568" si="159">F568</f>
        <v>2987.2</v>
      </c>
      <c r="G567" s="21">
        <f t="shared" si="159"/>
        <v>2646.8</v>
      </c>
    </row>
    <row r="568" spans="1:7" ht="31.5">
      <c r="A568" s="100" t="s">
        <v>33</v>
      </c>
      <c r="B568" s="100" t="s">
        <v>58</v>
      </c>
      <c r="C568" s="122">
        <v>2610120210</v>
      </c>
      <c r="D568" s="100" t="s">
        <v>67</v>
      </c>
      <c r="E568" s="99" t="s">
        <v>90</v>
      </c>
      <c r="F568" s="21">
        <f t="shared" si="159"/>
        <v>2987.2</v>
      </c>
      <c r="G568" s="21">
        <f t="shared" si="159"/>
        <v>2646.8</v>
      </c>
    </row>
    <row r="569" spans="1:7" ht="31.5">
      <c r="A569" s="100" t="s">
        <v>33</v>
      </c>
      <c r="B569" s="100" t="s">
        <v>58</v>
      </c>
      <c r="C569" s="122">
        <v>2610120210</v>
      </c>
      <c r="D569" s="98">
        <v>240</v>
      </c>
      <c r="E569" s="99" t="s">
        <v>216</v>
      </c>
      <c r="F569" s="21">
        <f>2713.5+273.7</f>
        <v>2987.2</v>
      </c>
      <c r="G569" s="21">
        <v>2646.8</v>
      </c>
    </row>
    <row r="570" spans="1:7" ht="31.5">
      <c r="A570" s="100" t="s">
        <v>33</v>
      </c>
      <c r="B570" s="100" t="s">
        <v>58</v>
      </c>
      <c r="C570" s="100">
        <v>2610120220</v>
      </c>
      <c r="D570" s="98"/>
      <c r="E570" s="99" t="s">
        <v>101</v>
      </c>
      <c r="F570" s="21">
        <f t="shared" ref="F570:G571" si="160">F571</f>
        <v>201</v>
      </c>
      <c r="G570" s="21">
        <f t="shared" si="160"/>
        <v>200.4</v>
      </c>
    </row>
    <row r="571" spans="1:7" ht="31.5">
      <c r="A571" s="100" t="s">
        <v>33</v>
      </c>
      <c r="B571" s="100" t="s">
        <v>58</v>
      </c>
      <c r="C571" s="100">
        <v>2610120220</v>
      </c>
      <c r="D571" s="100" t="s">
        <v>67</v>
      </c>
      <c r="E571" s="99" t="s">
        <v>90</v>
      </c>
      <c r="F571" s="21">
        <f t="shared" si="160"/>
        <v>201</v>
      </c>
      <c r="G571" s="21">
        <f t="shared" si="160"/>
        <v>200.4</v>
      </c>
    </row>
    <row r="572" spans="1:7" ht="32.25" thickBot="1">
      <c r="A572" s="100" t="s">
        <v>33</v>
      </c>
      <c r="B572" s="100" t="s">
        <v>58</v>
      </c>
      <c r="C572" s="100">
        <v>2610120220</v>
      </c>
      <c r="D572" s="98">
        <v>240</v>
      </c>
      <c r="E572" s="99" t="s">
        <v>216</v>
      </c>
      <c r="F572" s="21">
        <f>150+51</f>
        <v>201</v>
      </c>
      <c r="G572" s="21">
        <v>200.4</v>
      </c>
    </row>
    <row r="573" spans="1:7" ht="32.25" thickBot="1">
      <c r="A573" s="201" t="s">
        <v>33</v>
      </c>
      <c r="B573" s="201" t="s">
        <v>58</v>
      </c>
      <c r="C573" s="201">
        <v>2610300000</v>
      </c>
      <c r="D573" s="202"/>
      <c r="E573" s="204" t="s">
        <v>398</v>
      </c>
      <c r="F573" s="21">
        <f>F574</f>
        <v>1753.9</v>
      </c>
      <c r="G573" s="21">
        <f t="shared" ref="G573:G575" si="161">G574</f>
        <v>0</v>
      </c>
    </row>
    <row r="574" spans="1:7" ht="31.5">
      <c r="A574" s="201" t="s">
        <v>33</v>
      </c>
      <c r="B574" s="201" t="s">
        <v>58</v>
      </c>
      <c r="C574" s="201">
        <v>2610320030</v>
      </c>
      <c r="D574" s="202"/>
      <c r="E574" s="85" t="s">
        <v>399</v>
      </c>
      <c r="F574" s="21">
        <f>F575</f>
        <v>1753.9</v>
      </c>
      <c r="G574" s="21">
        <f t="shared" si="161"/>
        <v>0</v>
      </c>
    </row>
    <row r="575" spans="1:7" ht="31.5">
      <c r="A575" s="201" t="s">
        <v>33</v>
      </c>
      <c r="B575" s="201" t="s">
        <v>58</v>
      </c>
      <c r="C575" s="201">
        <v>2610320030</v>
      </c>
      <c r="D575" s="201" t="s">
        <v>67</v>
      </c>
      <c r="E575" s="203" t="s">
        <v>90</v>
      </c>
      <c r="F575" s="21">
        <f>F576</f>
        <v>1753.9</v>
      </c>
      <c r="G575" s="21">
        <f t="shared" si="161"/>
        <v>0</v>
      </c>
    </row>
    <row r="576" spans="1:7" ht="31.5">
      <c r="A576" s="201" t="s">
        <v>33</v>
      </c>
      <c r="B576" s="201" t="s">
        <v>58</v>
      </c>
      <c r="C576" s="201">
        <v>2610320030</v>
      </c>
      <c r="D576" s="202">
        <v>240</v>
      </c>
      <c r="E576" s="203" t="s">
        <v>216</v>
      </c>
      <c r="F576" s="21">
        <v>1753.9</v>
      </c>
      <c r="G576" s="21">
        <v>0</v>
      </c>
    </row>
    <row r="577" spans="1:7">
      <c r="A577" s="100" t="s">
        <v>33</v>
      </c>
      <c r="B577" s="100" t="s">
        <v>58</v>
      </c>
      <c r="C577" s="100" t="s">
        <v>105</v>
      </c>
      <c r="D577" s="100" t="s">
        <v>64</v>
      </c>
      <c r="E577" s="99" t="s">
        <v>100</v>
      </c>
      <c r="F577" s="21">
        <f>F584+F578</f>
        <v>7385.8</v>
      </c>
      <c r="G577" s="21">
        <f>G584+G578</f>
        <v>7327.6</v>
      </c>
    </row>
    <row r="578" spans="1:7" ht="31.5">
      <c r="A578" s="175" t="s">
        <v>33</v>
      </c>
      <c r="B578" s="175" t="s">
        <v>58</v>
      </c>
      <c r="C578" s="176">
        <v>9930000000</v>
      </c>
      <c r="D578" s="176"/>
      <c r="E578" s="56" t="s">
        <v>150</v>
      </c>
      <c r="F578" s="21">
        <f>F579</f>
        <v>50.8</v>
      </c>
      <c r="G578" s="21">
        <f t="shared" ref="G578:G582" si="162">G579</f>
        <v>50.8</v>
      </c>
    </row>
    <row r="579" spans="1:7" ht="31.5">
      <c r="A579" s="175" t="s">
        <v>33</v>
      </c>
      <c r="B579" s="175" t="s">
        <v>58</v>
      </c>
      <c r="C579" s="176">
        <v>9930020490</v>
      </c>
      <c r="D579" s="176"/>
      <c r="E579" s="56" t="s">
        <v>363</v>
      </c>
      <c r="F579" s="21">
        <f>F582+F580</f>
        <v>50.8</v>
      </c>
      <c r="G579" s="21">
        <f t="shared" ref="G579" si="163">G582+G580</f>
        <v>50.8</v>
      </c>
    </row>
    <row r="580" spans="1:7" ht="31.5">
      <c r="A580" s="184" t="s">
        <v>33</v>
      </c>
      <c r="B580" s="184" t="s">
        <v>58</v>
      </c>
      <c r="C580" s="185">
        <v>9930020490</v>
      </c>
      <c r="D580" s="184" t="s">
        <v>67</v>
      </c>
      <c r="E580" s="186" t="s">
        <v>90</v>
      </c>
      <c r="F580" s="21">
        <f>F581</f>
        <v>30.6</v>
      </c>
      <c r="G580" s="21">
        <f t="shared" ref="G580" si="164">G581</f>
        <v>30.6</v>
      </c>
    </row>
    <row r="581" spans="1:7" ht="31.5">
      <c r="A581" s="184" t="s">
        <v>33</v>
      </c>
      <c r="B581" s="184" t="s">
        <v>58</v>
      </c>
      <c r="C581" s="185">
        <v>9930020490</v>
      </c>
      <c r="D581" s="185">
        <v>240</v>
      </c>
      <c r="E581" s="186" t="s">
        <v>216</v>
      </c>
      <c r="F581" s="21">
        <v>30.6</v>
      </c>
      <c r="G581" s="21">
        <v>30.6</v>
      </c>
    </row>
    <row r="582" spans="1:7">
      <c r="A582" s="175" t="s">
        <v>33</v>
      </c>
      <c r="B582" s="175" t="s">
        <v>58</v>
      </c>
      <c r="C582" s="176">
        <v>9930020490</v>
      </c>
      <c r="D582" s="11" t="s">
        <v>68</v>
      </c>
      <c r="E582" s="42" t="s">
        <v>69</v>
      </c>
      <c r="F582" s="21">
        <f>F583</f>
        <v>20.2</v>
      </c>
      <c r="G582" s="21">
        <f t="shared" si="162"/>
        <v>20.2</v>
      </c>
    </row>
    <row r="583" spans="1:7">
      <c r="A583" s="175" t="s">
        <v>33</v>
      </c>
      <c r="B583" s="175" t="s">
        <v>58</v>
      </c>
      <c r="C583" s="176">
        <v>9930020490</v>
      </c>
      <c r="D583" s="1" t="s">
        <v>364</v>
      </c>
      <c r="E583" s="140" t="s">
        <v>365</v>
      </c>
      <c r="F583" s="21">
        <f>18.2+2</f>
        <v>20.2</v>
      </c>
      <c r="G583" s="21">
        <v>20.2</v>
      </c>
    </row>
    <row r="584" spans="1:7" ht="31.5">
      <c r="A584" s="100" t="s">
        <v>33</v>
      </c>
      <c r="B584" s="100" t="s">
        <v>58</v>
      </c>
      <c r="C584" s="98">
        <v>9990000000</v>
      </c>
      <c r="D584" s="98"/>
      <c r="E584" s="99" t="s">
        <v>141</v>
      </c>
      <c r="F584" s="21">
        <f>F585</f>
        <v>7335</v>
      </c>
      <c r="G584" s="21">
        <f t="shared" ref="G584:G586" si="165">G585</f>
        <v>7276.8</v>
      </c>
    </row>
    <row r="585" spans="1:7" ht="31.5">
      <c r="A585" s="100" t="s">
        <v>33</v>
      </c>
      <c r="B585" s="100" t="s">
        <v>58</v>
      </c>
      <c r="C585" s="98">
        <v>9990200000</v>
      </c>
      <c r="D585" s="24"/>
      <c r="E585" s="99" t="s">
        <v>112</v>
      </c>
      <c r="F585" s="21">
        <f>F586+F589</f>
        <v>7335</v>
      </c>
      <c r="G585" s="21">
        <f t="shared" ref="G585" si="166">G586+G589</f>
        <v>7276.8</v>
      </c>
    </row>
    <row r="586" spans="1:7" ht="47.25">
      <c r="A586" s="100" t="s">
        <v>33</v>
      </c>
      <c r="B586" s="100" t="s">
        <v>58</v>
      </c>
      <c r="C586" s="98">
        <v>9990225000</v>
      </c>
      <c r="D586" s="98"/>
      <c r="E586" s="99" t="s">
        <v>113</v>
      </c>
      <c r="F586" s="21">
        <f>F587</f>
        <v>7170.4</v>
      </c>
      <c r="G586" s="21">
        <f t="shared" si="165"/>
        <v>7142.1</v>
      </c>
    </row>
    <row r="587" spans="1:7" ht="63">
      <c r="A587" s="100" t="s">
        <v>33</v>
      </c>
      <c r="B587" s="100" t="s">
        <v>58</v>
      </c>
      <c r="C587" s="98">
        <v>9990225000</v>
      </c>
      <c r="D587" s="100" t="s">
        <v>66</v>
      </c>
      <c r="E587" s="99" t="s">
        <v>1</v>
      </c>
      <c r="F587" s="21">
        <f>F588</f>
        <v>7170.4</v>
      </c>
      <c r="G587" s="21">
        <f>G588</f>
        <v>7142.1</v>
      </c>
    </row>
    <row r="588" spans="1:7" ht="31.5">
      <c r="A588" s="100" t="s">
        <v>33</v>
      </c>
      <c r="B588" s="100" t="s">
        <v>58</v>
      </c>
      <c r="C588" s="98">
        <v>9990225000</v>
      </c>
      <c r="D588" s="98">
        <v>120</v>
      </c>
      <c r="E588" s="99" t="s">
        <v>217</v>
      </c>
      <c r="F588" s="21">
        <f>6240.3+321.2+106+466.9+36</f>
        <v>7170.4</v>
      </c>
      <c r="G588" s="21">
        <v>7142.1</v>
      </c>
    </row>
    <row r="589" spans="1:7" ht="47.25">
      <c r="A589" s="217" t="s">
        <v>33</v>
      </c>
      <c r="B589" s="217" t="s">
        <v>58</v>
      </c>
      <c r="C589" s="229">
        <v>9990255492</v>
      </c>
      <c r="D589" s="224"/>
      <c r="E589" s="225" t="s">
        <v>409</v>
      </c>
      <c r="F589" s="21">
        <f>F590</f>
        <v>164.6</v>
      </c>
      <c r="G589" s="21">
        <f t="shared" ref="G589:G590" si="167">G590</f>
        <v>134.69999999999999</v>
      </c>
    </row>
    <row r="590" spans="1:7" ht="63">
      <c r="A590" s="217" t="s">
        <v>33</v>
      </c>
      <c r="B590" s="217" t="s">
        <v>58</v>
      </c>
      <c r="C590" s="229">
        <v>9990255492</v>
      </c>
      <c r="D590" s="224" t="s">
        <v>66</v>
      </c>
      <c r="E590" s="225" t="s">
        <v>1</v>
      </c>
      <c r="F590" s="21">
        <f>F591</f>
        <v>164.6</v>
      </c>
      <c r="G590" s="21">
        <f t="shared" si="167"/>
        <v>134.69999999999999</v>
      </c>
    </row>
    <row r="591" spans="1:7" ht="31.5">
      <c r="A591" s="217" t="s">
        <v>33</v>
      </c>
      <c r="B591" s="217" t="s">
        <v>58</v>
      </c>
      <c r="C591" s="229">
        <v>9990255492</v>
      </c>
      <c r="D591" s="224">
        <v>120</v>
      </c>
      <c r="E591" s="225" t="s">
        <v>217</v>
      </c>
      <c r="F591" s="21">
        <v>164.6</v>
      </c>
      <c r="G591" s="21">
        <v>134.69999999999999</v>
      </c>
    </row>
    <row r="592" spans="1:7">
      <c r="A592" s="100" t="s">
        <v>33</v>
      </c>
      <c r="B592" s="100" t="s">
        <v>55</v>
      </c>
      <c r="C592" s="100" t="s">
        <v>64</v>
      </c>
      <c r="D592" s="100" t="s">
        <v>64</v>
      </c>
      <c r="E592" s="99" t="s">
        <v>25</v>
      </c>
      <c r="F592" s="21">
        <f t="shared" ref="F592:G598" si="168">F593</f>
        <v>299</v>
      </c>
      <c r="G592" s="21">
        <f t="shared" si="168"/>
        <v>81</v>
      </c>
    </row>
    <row r="593" spans="1:7">
      <c r="A593" s="100" t="s">
        <v>33</v>
      </c>
      <c r="B593" s="100" t="s">
        <v>47</v>
      </c>
      <c r="C593" s="100" t="s">
        <v>64</v>
      </c>
      <c r="D593" s="100" t="s">
        <v>64</v>
      </c>
      <c r="E593" s="99" t="s">
        <v>26</v>
      </c>
      <c r="F593" s="21">
        <f t="shared" si="168"/>
        <v>299</v>
      </c>
      <c r="G593" s="21">
        <f t="shared" si="168"/>
        <v>81</v>
      </c>
    </row>
    <row r="594" spans="1:7" ht="47.25">
      <c r="A594" s="100" t="s">
        <v>33</v>
      </c>
      <c r="B594" s="100" t="s">
        <v>47</v>
      </c>
      <c r="C594" s="122">
        <v>2600000000</v>
      </c>
      <c r="D594" s="122"/>
      <c r="E594" s="124" t="s">
        <v>316</v>
      </c>
      <c r="F594" s="21">
        <f t="shared" si="168"/>
        <v>299</v>
      </c>
      <c r="G594" s="21">
        <f t="shared" si="168"/>
        <v>81</v>
      </c>
    </row>
    <row r="595" spans="1:7" ht="31.5">
      <c r="A595" s="100" t="s">
        <v>33</v>
      </c>
      <c r="B595" s="100" t="s">
        <v>47</v>
      </c>
      <c r="C595" s="122">
        <v>2610000000</v>
      </c>
      <c r="D595" s="122"/>
      <c r="E595" s="124" t="s">
        <v>102</v>
      </c>
      <c r="F595" s="21">
        <f t="shared" si="168"/>
        <v>299</v>
      </c>
      <c r="G595" s="21">
        <f t="shared" si="168"/>
        <v>81</v>
      </c>
    </row>
    <row r="596" spans="1:7">
      <c r="A596" s="100" t="s">
        <v>33</v>
      </c>
      <c r="B596" s="100" t="s">
        <v>47</v>
      </c>
      <c r="C596" s="100">
        <v>2610100000</v>
      </c>
      <c r="D596" s="100"/>
      <c r="E596" s="99" t="s">
        <v>103</v>
      </c>
      <c r="F596" s="21">
        <f t="shared" si="168"/>
        <v>299</v>
      </c>
      <c r="G596" s="21">
        <f t="shared" si="168"/>
        <v>81</v>
      </c>
    </row>
    <row r="597" spans="1:7" ht="31.5">
      <c r="A597" s="100" t="s">
        <v>33</v>
      </c>
      <c r="B597" s="100" t="s">
        <v>47</v>
      </c>
      <c r="C597" s="100">
        <v>2610120240</v>
      </c>
      <c r="D597" s="100"/>
      <c r="E597" s="99" t="s">
        <v>106</v>
      </c>
      <c r="F597" s="21">
        <f t="shared" si="168"/>
        <v>299</v>
      </c>
      <c r="G597" s="21">
        <f t="shared" si="168"/>
        <v>81</v>
      </c>
    </row>
    <row r="598" spans="1:7" ht="31.5">
      <c r="A598" s="100" t="s">
        <v>33</v>
      </c>
      <c r="B598" s="100" t="s">
        <v>47</v>
      </c>
      <c r="C598" s="120">
        <v>2610120240</v>
      </c>
      <c r="D598" s="100" t="s">
        <v>67</v>
      </c>
      <c r="E598" s="99" t="s">
        <v>90</v>
      </c>
      <c r="F598" s="21">
        <f t="shared" si="168"/>
        <v>299</v>
      </c>
      <c r="G598" s="21">
        <f t="shared" si="168"/>
        <v>81</v>
      </c>
    </row>
    <row r="599" spans="1:7" ht="31.5">
      <c r="A599" s="100" t="s">
        <v>33</v>
      </c>
      <c r="B599" s="100" t="s">
        <v>47</v>
      </c>
      <c r="C599" s="120">
        <v>2610120240</v>
      </c>
      <c r="D599" s="98">
        <v>240</v>
      </c>
      <c r="E599" s="99" t="s">
        <v>216</v>
      </c>
      <c r="F599" s="21">
        <f>350-51</f>
        <v>299</v>
      </c>
      <c r="G599" s="21">
        <v>81</v>
      </c>
    </row>
    <row r="600" spans="1:7">
      <c r="A600" s="100" t="s">
        <v>33</v>
      </c>
      <c r="B600" s="100" t="s">
        <v>56</v>
      </c>
      <c r="C600" s="100" t="s">
        <v>64</v>
      </c>
      <c r="D600" s="100" t="s">
        <v>64</v>
      </c>
      <c r="E600" s="99" t="s">
        <v>27</v>
      </c>
      <c r="F600" s="21">
        <f t="shared" ref="F600:G606" si="169">F601</f>
        <v>3217.6</v>
      </c>
      <c r="G600" s="21">
        <f t="shared" si="169"/>
        <v>3006.8</v>
      </c>
    </row>
    <row r="601" spans="1:7">
      <c r="A601" s="100" t="s">
        <v>33</v>
      </c>
      <c r="B601" s="100" t="s">
        <v>4</v>
      </c>
      <c r="C601" s="100" t="s">
        <v>64</v>
      </c>
      <c r="D601" s="100" t="s">
        <v>64</v>
      </c>
      <c r="E601" s="99" t="s">
        <v>5</v>
      </c>
      <c r="F601" s="21">
        <f t="shared" si="169"/>
        <v>3217.6</v>
      </c>
      <c r="G601" s="21">
        <f t="shared" si="169"/>
        <v>3006.8</v>
      </c>
    </row>
    <row r="602" spans="1:7" ht="47.25">
      <c r="A602" s="100" t="s">
        <v>33</v>
      </c>
      <c r="B602" s="100" t="s">
        <v>4</v>
      </c>
      <c r="C602" s="122">
        <v>2600000000</v>
      </c>
      <c r="D602" s="122"/>
      <c r="E602" s="124" t="s">
        <v>316</v>
      </c>
      <c r="F602" s="21">
        <f t="shared" si="169"/>
        <v>3217.6</v>
      </c>
      <c r="G602" s="21">
        <f t="shared" si="169"/>
        <v>3006.8</v>
      </c>
    </row>
    <row r="603" spans="1:7" ht="31.5">
      <c r="A603" s="100" t="s">
        <v>33</v>
      </c>
      <c r="B603" s="100" t="s">
        <v>4</v>
      </c>
      <c r="C603" s="122">
        <v>2610000000</v>
      </c>
      <c r="D603" s="122"/>
      <c r="E603" s="124" t="s">
        <v>102</v>
      </c>
      <c r="F603" s="21">
        <f t="shared" si="169"/>
        <v>3217.6</v>
      </c>
      <c r="G603" s="21">
        <f t="shared" si="169"/>
        <v>3006.8</v>
      </c>
    </row>
    <row r="604" spans="1:7">
      <c r="A604" s="100" t="s">
        <v>33</v>
      </c>
      <c r="B604" s="100" t="s">
        <v>4</v>
      </c>
      <c r="C604" s="100">
        <v>2610100000</v>
      </c>
      <c r="D604" s="100"/>
      <c r="E604" s="99" t="s">
        <v>103</v>
      </c>
      <c r="F604" s="21">
        <f t="shared" si="169"/>
        <v>3217.6</v>
      </c>
      <c r="G604" s="21">
        <f t="shared" si="169"/>
        <v>3006.8</v>
      </c>
    </row>
    <row r="605" spans="1:7" ht="47.25">
      <c r="A605" s="100" t="s">
        <v>33</v>
      </c>
      <c r="B605" s="100" t="s">
        <v>4</v>
      </c>
      <c r="C605" s="100">
        <v>2610120230</v>
      </c>
      <c r="D605" s="100"/>
      <c r="E605" s="99" t="s">
        <v>108</v>
      </c>
      <c r="F605" s="21">
        <f t="shared" si="169"/>
        <v>3217.6</v>
      </c>
      <c r="G605" s="21">
        <f t="shared" si="169"/>
        <v>3006.8</v>
      </c>
    </row>
    <row r="606" spans="1:7" ht="31.5">
      <c r="A606" s="100" t="s">
        <v>33</v>
      </c>
      <c r="B606" s="100" t="s">
        <v>4</v>
      </c>
      <c r="C606" s="122">
        <v>2610120230</v>
      </c>
      <c r="D606" s="100" t="s">
        <v>67</v>
      </c>
      <c r="E606" s="99" t="s">
        <v>90</v>
      </c>
      <c r="F606" s="21">
        <f t="shared" si="169"/>
        <v>3217.6</v>
      </c>
      <c r="G606" s="21">
        <f t="shared" si="169"/>
        <v>3006.8</v>
      </c>
    </row>
    <row r="607" spans="1:7" ht="31.5">
      <c r="A607" s="100" t="s">
        <v>33</v>
      </c>
      <c r="B607" s="100" t="s">
        <v>4</v>
      </c>
      <c r="C607" s="122">
        <v>2610120230</v>
      </c>
      <c r="D607" s="98">
        <v>240</v>
      </c>
      <c r="E607" s="99" t="s">
        <v>216</v>
      </c>
      <c r="F607" s="21">
        <v>3217.6</v>
      </c>
      <c r="G607" s="21">
        <v>3006.8</v>
      </c>
    </row>
    <row r="608" spans="1:7">
      <c r="A608" s="100" t="s">
        <v>33</v>
      </c>
      <c r="B608" s="100" t="s">
        <v>39</v>
      </c>
      <c r="C608" s="100" t="s">
        <v>64</v>
      </c>
      <c r="D608" s="100" t="s">
        <v>64</v>
      </c>
      <c r="E608" s="99" t="s">
        <v>31</v>
      </c>
      <c r="F608" s="21">
        <f>F609</f>
        <v>14988.3</v>
      </c>
      <c r="G608" s="21">
        <f>G609</f>
        <v>14988.2</v>
      </c>
    </row>
    <row r="609" spans="1:7">
      <c r="A609" s="100" t="s">
        <v>33</v>
      </c>
      <c r="B609" s="100" t="s">
        <v>82</v>
      </c>
      <c r="C609" s="100" t="s">
        <v>64</v>
      </c>
      <c r="D609" s="100" t="s">
        <v>64</v>
      </c>
      <c r="E609" s="99" t="s">
        <v>83</v>
      </c>
      <c r="F609" s="21">
        <f t="shared" ref="F609:G611" si="170">F610</f>
        <v>14988.3</v>
      </c>
      <c r="G609" s="21">
        <f t="shared" si="170"/>
        <v>14988.2</v>
      </c>
    </row>
    <row r="610" spans="1:7" ht="47.25">
      <c r="A610" s="100" t="s">
        <v>33</v>
      </c>
      <c r="B610" s="100" t="s">
        <v>82</v>
      </c>
      <c r="C610" s="122">
        <v>2600000000</v>
      </c>
      <c r="D610" s="122"/>
      <c r="E610" s="124" t="s">
        <v>316</v>
      </c>
      <c r="F610" s="21">
        <f t="shared" si="170"/>
        <v>14988.3</v>
      </c>
      <c r="G610" s="21">
        <f t="shared" si="170"/>
        <v>14988.2</v>
      </c>
    </row>
    <row r="611" spans="1:7" ht="31.5">
      <c r="A611" s="100" t="s">
        <v>33</v>
      </c>
      <c r="B611" s="100" t="s">
        <v>82</v>
      </c>
      <c r="C611" s="122">
        <v>2610000000</v>
      </c>
      <c r="D611" s="122"/>
      <c r="E611" s="124" t="s">
        <v>102</v>
      </c>
      <c r="F611" s="21">
        <f t="shared" si="170"/>
        <v>14988.3</v>
      </c>
      <c r="G611" s="21">
        <f t="shared" si="170"/>
        <v>14988.2</v>
      </c>
    </row>
    <row r="612" spans="1:7" ht="18" customHeight="1">
      <c r="A612" s="100" t="s">
        <v>33</v>
      </c>
      <c r="B612" s="100" t="s">
        <v>82</v>
      </c>
      <c r="C612" s="100">
        <v>2610200000</v>
      </c>
      <c r="D612" s="100"/>
      <c r="E612" s="99" t="s">
        <v>107</v>
      </c>
      <c r="F612" s="21">
        <f>F613+F619+F616</f>
        <v>14988.3</v>
      </c>
      <c r="G612" s="21">
        <f>G613+G619+G616</f>
        <v>14988.2</v>
      </c>
    </row>
    <row r="613" spans="1:7" ht="63">
      <c r="A613" s="100" t="s">
        <v>33</v>
      </c>
      <c r="B613" s="100" t="s">
        <v>82</v>
      </c>
      <c r="C613" s="100">
        <v>2610210820</v>
      </c>
      <c r="D613" s="100"/>
      <c r="E613" s="99" t="s">
        <v>213</v>
      </c>
      <c r="F613" s="21">
        <f t="shared" ref="F613:G614" si="171">F614</f>
        <v>8006</v>
      </c>
      <c r="G613" s="21">
        <f t="shared" si="171"/>
        <v>8005.9</v>
      </c>
    </row>
    <row r="614" spans="1:7" ht="31.5">
      <c r="A614" s="100" t="s">
        <v>33</v>
      </c>
      <c r="B614" s="100" t="s">
        <v>82</v>
      </c>
      <c r="C614" s="100">
        <v>2610210820</v>
      </c>
      <c r="D614" s="100" t="s">
        <v>70</v>
      </c>
      <c r="E614" s="99" t="s">
        <v>91</v>
      </c>
      <c r="F614" s="21">
        <f t="shared" si="171"/>
        <v>8006</v>
      </c>
      <c r="G614" s="21">
        <f t="shared" si="171"/>
        <v>8005.9</v>
      </c>
    </row>
    <row r="615" spans="1:7">
      <c r="A615" s="100" t="s">
        <v>33</v>
      </c>
      <c r="B615" s="100" t="s">
        <v>82</v>
      </c>
      <c r="C615" s="100">
        <v>2610210820</v>
      </c>
      <c r="D615" s="100" t="s">
        <v>114</v>
      </c>
      <c r="E615" s="99" t="s">
        <v>115</v>
      </c>
      <c r="F615" s="21">
        <f>3295.6-93.2+4803.6</f>
        <v>8006</v>
      </c>
      <c r="G615" s="21">
        <v>8005.9</v>
      </c>
    </row>
    <row r="616" spans="1:7" ht="47.25">
      <c r="A616" s="174" t="s">
        <v>33</v>
      </c>
      <c r="B616" s="174" t="s">
        <v>82</v>
      </c>
      <c r="C616" s="174">
        <v>2610210290</v>
      </c>
      <c r="D616" s="174"/>
      <c r="E616" s="56" t="s">
        <v>371</v>
      </c>
      <c r="F616" s="21">
        <f>F617</f>
        <v>5585.7999999999993</v>
      </c>
      <c r="G616" s="21">
        <f t="shared" ref="G616:G617" si="172">G617</f>
        <v>5585.8</v>
      </c>
    </row>
    <row r="617" spans="1:7" ht="31.5">
      <c r="A617" s="174" t="s">
        <v>33</v>
      </c>
      <c r="B617" s="174" t="s">
        <v>82</v>
      </c>
      <c r="C617" s="174">
        <v>2610210290</v>
      </c>
      <c r="D617" s="174" t="s">
        <v>70</v>
      </c>
      <c r="E617" s="56" t="s">
        <v>91</v>
      </c>
      <c r="F617" s="21">
        <f>F618</f>
        <v>5585.7999999999993</v>
      </c>
      <c r="G617" s="21">
        <f t="shared" si="172"/>
        <v>5585.8</v>
      </c>
    </row>
    <row r="618" spans="1:7">
      <c r="A618" s="174" t="s">
        <v>33</v>
      </c>
      <c r="B618" s="174" t="s">
        <v>82</v>
      </c>
      <c r="C618" s="174">
        <v>2610210290</v>
      </c>
      <c r="D618" s="174" t="s">
        <v>114</v>
      </c>
      <c r="E618" s="56" t="s">
        <v>115</v>
      </c>
      <c r="F618" s="21">
        <f>2461.2+3124.6</f>
        <v>5585.7999999999993</v>
      </c>
      <c r="G618" s="21">
        <v>5585.8</v>
      </c>
    </row>
    <row r="619" spans="1:7" ht="47.25">
      <c r="A619" s="150" t="s">
        <v>33</v>
      </c>
      <c r="B619" s="150" t="s">
        <v>82</v>
      </c>
      <c r="C619" s="150" t="s">
        <v>350</v>
      </c>
      <c r="D619" s="150"/>
      <c r="E619" s="56" t="s">
        <v>351</v>
      </c>
      <c r="F619" s="21">
        <f>F620</f>
        <v>1396.5</v>
      </c>
      <c r="G619" s="21">
        <f t="shared" ref="G619:G620" si="173">G620</f>
        <v>1396.5</v>
      </c>
    </row>
    <row r="620" spans="1:7" ht="31.5">
      <c r="A620" s="150" t="s">
        <v>33</v>
      </c>
      <c r="B620" s="150" t="s">
        <v>82</v>
      </c>
      <c r="C620" s="150" t="s">
        <v>350</v>
      </c>
      <c r="D620" s="150" t="s">
        <v>70</v>
      </c>
      <c r="E620" s="56" t="s">
        <v>91</v>
      </c>
      <c r="F620" s="21">
        <f>F621</f>
        <v>1396.5</v>
      </c>
      <c r="G620" s="21">
        <f t="shared" si="173"/>
        <v>1396.5</v>
      </c>
    </row>
    <row r="621" spans="1:7">
      <c r="A621" s="150" t="s">
        <v>33</v>
      </c>
      <c r="B621" s="150" t="s">
        <v>82</v>
      </c>
      <c r="C621" s="150" t="s">
        <v>350</v>
      </c>
      <c r="D621" s="150" t="s">
        <v>114</v>
      </c>
      <c r="E621" s="56" t="s">
        <v>115</v>
      </c>
      <c r="F621" s="21">
        <f>1616.1-1000.8+781.2</f>
        <v>1396.5</v>
      </c>
      <c r="G621" s="21">
        <v>1396.5</v>
      </c>
    </row>
    <row r="622" spans="1:7">
      <c r="A622" s="16" t="s">
        <v>14</v>
      </c>
      <c r="B622" s="24" t="s">
        <v>64</v>
      </c>
      <c r="C622" s="24" t="s">
        <v>64</v>
      </c>
      <c r="D622" s="24" t="s">
        <v>64</v>
      </c>
      <c r="E622" s="45" t="s">
        <v>2</v>
      </c>
      <c r="F622" s="26">
        <f t="shared" ref="F622:F626" si="174">F623</f>
        <v>3835.2000000000003</v>
      </c>
      <c r="G622" s="26">
        <f t="shared" ref="G622:G626" si="175">G623</f>
        <v>3816.1</v>
      </c>
    </row>
    <row r="623" spans="1:7">
      <c r="A623" s="98" t="s">
        <v>14</v>
      </c>
      <c r="B623" s="98" t="s">
        <v>53</v>
      </c>
      <c r="C623" s="98" t="s">
        <v>64</v>
      </c>
      <c r="D623" s="98" t="s">
        <v>64</v>
      </c>
      <c r="E623" s="46" t="s">
        <v>20</v>
      </c>
      <c r="F623" s="21">
        <f t="shared" si="174"/>
        <v>3835.2000000000003</v>
      </c>
      <c r="G623" s="21">
        <f t="shared" si="175"/>
        <v>3816.1</v>
      </c>
    </row>
    <row r="624" spans="1:7" ht="47.25">
      <c r="A624" s="98" t="s">
        <v>14</v>
      </c>
      <c r="B624" s="98" t="s">
        <v>43</v>
      </c>
      <c r="C624" s="98" t="s">
        <v>64</v>
      </c>
      <c r="D624" s="98" t="s">
        <v>64</v>
      </c>
      <c r="E624" s="99" t="s">
        <v>21</v>
      </c>
      <c r="F624" s="21">
        <f t="shared" si="174"/>
        <v>3835.2000000000003</v>
      </c>
      <c r="G624" s="21">
        <f t="shared" si="175"/>
        <v>3816.1</v>
      </c>
    </row>
    <row r="625" spans="1:7">
      <c r="A625" s="98" t="s">
        <v>14</v>
      </c>
      <c r="B625" s="98" t="s">
        <v>43</v>
      </c>
      <c r="C625" s="100" t="s">
        <v>105</v>
      </c>
      <c r="D625" s="100" t="s">
        <v>64</v>
      </c>
      <c r="E625" s="99" t="s">
        <v>100</v>
      </c>
      <c r="F625" s="21">
        <f t="shared" si="174"/>
        <v>3835.2000000000003</v>
      </c>
      <c r="G625" s="21">
        <f t="shared" si="175"/>
        <v>3816.1</v>
      </c>
    </row>
    <row r="626" spans="1:7" ht="31.5">
      <c r="A626" s="98" t="s">
        <v>14</v>
      </c>
      <c r="B626" s="98" t="s">
        <v>43</v>
      </c>
      <c r="C626" s="98">
        <v>9990000000</v>
      </c>
      <c r="D626" s="98"/>
      <c r="E626" s="99" t="s">
        <v>141</v>
      </c>
      <c r="F626" s="21">
        <f t="shared" si="174"/>
        <v>3835.2000000000003</v>
      </c>
      <c r="G626" s="21">
        <f t="shared" si="175"/>
        <v>3816.1</v>
      </c>
    </row>
    <row r="627" spans="1:7" ht="31.5">
      <c r="A627" s="98" t="s">
        <v>14</v>
      </c>
      <c r="B627" s="98" t="s">
        <v>43</v>
      </c>
      <c r="C627" s="98">
        <v>9990100000</v>
      </c>
      <c r="D627" s="98"/>
      <c r="E627" s="99" t="s">
        <v>157</v>
      </c>
      <c r="F627" s="21">
        <f>F628+F633</f>
        <v>3835.2000000000003</v>
      </c>
      <c r="G627" s="21">
        <f t="shared" ref="G627" si="176">G628+G633</f>
        <v>3816.1</v>
      </c>
    </row>
    <row r="628" spans="1:7" ht="31.5">
      <c r="A628" s="98" t="s">
        <v>14</v>
      </c>
      <c r="B628" s="98" t="s">
        <v>43</v>
      </c>
      <c r="C628" s="98">
        <v>9990123000</v>
      </c>
      <c r="D628" s="98"/>
      <c r="E628" s="99" t="s">
        <v>158</v>
      </c>
      <c r="F628" s="21">
        <f>F629+F631</f>
        <v>3790.3</v>
      </c>
      <c r="G628" s="21">
        <f>G629+G631</f>
        <v>3786.2</v>
      </c>
    </row>
    <row r="629" spans="1:7" ht="63">
      <c r="A629" s="98" t="s">
        <v>14</v>
      </c>
      <c r="B629" s="98" t="s">
        <v>43</v>
      </c>
      <c r="C629" s="98">
        <v>9990123000</v>
      </c>
      <c r="D629" s="98" t="s">
        <v>66</v>
      </c>
      <c r="E629" s="99" t="s">
        <v>1</v>
      </c>
      <c r="F629" s="21">
        <f>F630</f>
        <v>3180.5</v>
      </c>
      <c r="G629" s="21">
        <f>G630</f>
        <v>3180.5</v>
      </c>
    </row>
    <row r="630" spans="1:7" ht="31.5">
      <c r="A630" s="98" t="s">
        <v>14</v>
      </c>
      <c r="B630" s="98" t="s">
        <v>43</v>
      </c>
      <c r="C630" s="98">
        <v>9990123000</v>
      </c>
      <c r="D630" s="98">
        <v>120</v>
      </c>
      <c r="E630" s="99" t="s">
        <v>217</v>
      </c>
      <c r="F630" s="21">
        <f>2970.9+155.4+43+11.2</f>
        <v>3180.5</v>
      </c>
      <c r="G630" s="21">
        <v>3180.5</v>
      </c>
    </row>
    <row r="631" spans="1:7" ht="31.5">
      <c r="A631" s="98" t="s">
        <v>14</v>
      </c>
      <c r="B631" s="98" t="s">
        <v>43</v>
      </c>
      <c r="C631" s="98">
        <v>9990123000</v>
      </c>
      <c r="D631" s="100" t="s">
        <v>67</v>
      </c>
      <c r="E631" s="99" t="s">
        <v>90</v>
      </c>
      <c r="F631" s="21">
        <f>F632</f>
        <v>609.79999999999995</v>
      </c>
      <c r="G631" s="21">
        <f>G632</f>
        <v>605.70000000000005</v>
      </c>
    </row>
    <row r="632" spans="1:7" ht="31.5">
      <c r="A632" s="98" t="s">
        <v>14</v>
      </c>
      <c r="B632" s="98" t="s">
        <v>43</v>
      </c>
      <c r="C632" s="98">
        <v>9990123000</v>
      </c>
      <c r="D632" s="98">
        <v>240</v>
      </c>
      <c r="E632" s="99" t="s">
        <v>216</v>
      </c>
      <c r="F632" s="21">
        <f>561.9+47.9</f>
        <v>609.79999999999995</v>
      </c>
      <c r="G632" s="21">
        <v>605.70000000000005</v>
      </c>
    </row>
    <row r="633" spans="1:7" ht="47.25">
      <c r="A633" s="218" t="s">
        <v>14</v>
      </c>
      <c r="B633" s="218" t="s">
        <v>43</v>
      </c>
      <c r="C633" s="229">
        <v>9990155492</v>
      </c>
      <c r="D633" s="224"/>
      <c r="E633" s="225" t="s">
        <v>409</v>
      </c>
      <c r="F633" s="21">
        <f>F634</f>
        <v>44.9</v>
      </c>
      <c r="G633" s="21">
        <f t="shared" ref="G633:G634" si="177">G634</f>
        <v>29.9</v>
      </c>
    </row>
    <row r="634" spans="1:7" ht="63">
      <c r="A634" s="218" t="s">
        <v>14</v>
      </c>
      <c r="B634" s="218" t="s">
        <v>43</v>
      </c>
      <c r="C634" s="229">
        <v>9990155492</v>
      </c>
      <c r="D634" s="224" t="s">
        <v>66</v>
      </c>
      <c r="E634" s="225" t="s">
        <v>1</v>
      </c>
      <c r="F634" s="21">
        <f>F635</f>
        <v>44.9</v>
      </c>
      <c r="G634" s="21">
        <f t="shared" si="177"/>
        <v>29.9</v>
      </c>
    </row>
    <row r="635" spans="1:7" ht="31.5">
      <c r="A635" s="218" t="s">
        <v>14</v>
      </c>
      <c r="B635" s="218" t="s">
        <v>43</v>
      </c>
      <c r="C635" s="229">
        <v>9990155492</v>
      </c>
      <c r="D635" s="224">
        <v>120</v>
      </c>
      <c r="E635" s="225" t="s">
        <v>217</v>
      </c>
      <c r="F635" s="21">
        <v>44.9</v>
      </c>
      <c r="G635" s="21">
        <v>29.9</v>
      </c>
    </row>
    <row r="636" spans="1:7">
      <c r="A636" s="16" t="s">
        <v>9</v>
      </c>
      <c r="B636" s="24" t="s">
        <v>64</v>
      </c>
      <c r="C636" s="24" t="s">
        <v>64</v>
      </c>
      <c r="D636" s="24" t="s">
        <v>64</v>
      </c>
      <c r="E636" s="228" t="s">
        <v>270</v>
      </c>
      <c r="F636" s="26">
        <f>F637+F858</f>
        <v>712729.79999999993</v>
      </c>
      <c r="G636" s="26">
        <f>G637+G858</f>
        <v>710014.4</v>
      </c>
    </row>
    <row r="637" spans="1:7">
      <c r="A637" s="98" t="s">
        <v>9</v>
      </c>
      <c r="B637" s="98" t="s">
        <v>37</v>
      </c>
      <c r="C637" s="98" t="s">
        <v>64</v>
      </c>
      <c r="D637" s="98" t="s">
        <v>64</v>
      </c>
      <c r="E637" s="99" t="s">
        <v>29</v>
      </c>
      <c r="F637" s="21">
        <f>F638+F690+F790+F826</f>
        <v>703137.1</v>
      </c>
      <c r="G637" s="21">
        <f>G638+G690+G790+G826</f>
        <v>701464.4</v>
      </c>
    </row>
    <row r="638" spans="1:7">
      <c r="A638" s="98" t="s">
        <v>9</v>
      </c>
      <c r="B638" s="98" t="s">
        <v>49</v>
      </c>
      <c r="C638" s="98" t="s">
        <v>64</v>
      </c>
      <c r="D638" s="98" t="s">
        <v>64</v>
      </c>
      <c r="E638" s="99" t="s">
        <v>10</v>
      </c>
      <c r="F638" s="21">
        <f>F639+F662</f>
        <v>282492.59999999998</v>
      </c>
      <c r="G638" s="21">
        <f>G639+G662</f>
        <v>281845.60000000003</v>
      </c>
    </row>
    <row r="639" spans="1:7" ht="31.5" customHeight="1">
      <c r="A639" s="98" t="s">
        <v>9</v>
      </c>
      <c r="B639" s="98" t="s">
        <v>49</v>
      </c>
      <c r="C639" s="100">
        <v>2100000000</v>
      </c>
      <c r="D639" s="98"/>
      <c r="E639" s="99" t="s">
        <v>313</v>
      </c>
      <c r="F639" s="21">
        <f t="shared" ref="F639:G639" si="178">F640</f>
        <v>274184.8</v>
      </c>
      <c r="G639" s="21">
        <f t="shared" si="178"/>
        <v>274183.90000000002</v>
      </c>
    </row>
    <row r="640" spans="1:7">
      <c r="A640" s="98" t="s">
        <v>9</v>
      </c>
      <c r="B640" s="98" t="s">
        <v>49</v>
      </c>
      <c r="C640" s="98">
        <v>2110000000</v>
      </c>
      <c r="D640" s="98"/>
      <c r="E640" s="99" t="s">
        <v>159</v>
      </c>
      <c r="F640" s="21">
        <f>F641+F654+F658</f>
        <v>274184.8</v>
      </c>
      <c r="G640" s="21">
        <f>G641+G654+G658</f>
        <v>274183.90000000002</v>
      </c>
    </row>
    <row r="641" spans="1:7" ht="47.25">
      <c r="A641" s="98" t="s">
        <v>9</v>
      </c>
      <c r="B641" s="98" t="s">
        <v>49</v>
      </c>
      <c r="C641" s="98">
        <v>2110100000</v>
      </c>
      <c r="D641" s="24"/>
      <c r="E641" s="99" t="s">
        <v>160</v>
      </c>
      <c r="F641" s="21">
        <f>F645+F642+F648+F651</f>
        <v>270314.59999999998</v>
      </c>
      <c r="G641" s="21">
        <f t="shared" ref="G641" si="179">G645+G642+G648+G651</f>
        <v>270314.59999999998</v>
      </c>
    </row>
    <row r="642" spans="1:7" ht="45" customHeight="1">
      <c r="A642" s="2" t="s">
        <v>9</v>
      </c>
      <c r="B642" s="2" t="s">
        <v>49</v>
      </c>
      <c r="C642" s="10" t="s">
        <v>306</v>
      </c>
      <c r="D642" s="11"/>
      <c r="E642" s="42" t="s">
        <v>98</v>
      </c>
      <c r="F642" s="21">
        <f t="shared" ref="F642:G643" si="180">F643</f>
        <v>148201</v>
      </c>
      <c r="G642" s="21">
        <f t="shared" si="180"/>
        <v>148201</v>
      </c>
    </row>
    <row r="643" spans="1:7" ht="31.5">
      <c r="A643" s="2" t="s">
        <v>9</v>
      </c>
      <c r="B643" s="2" t="s">
        <v>49</v>
      </c>
      <c r="C643" s="10" t="s">
        <v>306</v>
      </c>
      <c r="D643" s="100" t="s">
        <v>92</v>
      </c>
      <c r="E643" s="99" t="s">
        <v>93</v>
      </c>
      <c r="F643" s="21">
        <f t="shared" si="180"/>
        <v>148201</v>
      </c>
      <c r="G643" s="21">
        <f t="shared" si="180"/>
        <v>148201</v>
      </c>
    </row>
    <row r="644" spans="1:7">
      <c r="A644" s="98" t="s">
        <v>9</v>
      </c>
      <c r="B644" s="2" t="s">
        <v>49</v>
      </c>
      <c r="C644" s="10" t="s">
        <v>306</v>
      </c>
      <c r="D644" s="98">
        <v>610</v>
      </c>
      <c r="E644" s="99" t="s">
        <v>99</v>
      </c>
      <c r="F644" s="21">
        <f>120984.9+15242.9+11818.2+155</f>
        <v>148201</v>
      </c>
      <c r="G644" s="21">
        <v>148201</v>
      </c>
    </row>
    <row r="645" spans="1:7" ht="31.5">
      <c r="A645" s="2" t="s">
        <v>9</v>
      </c>
      <c r="B645" s="2" t="s">
        <v>49</v>
      </c>
      <c r="C645" s="10" t="s">
        <v>307</v>
      </c>
      <c r="D645" s="10"/>
      <c r="E645" s="42" t="s">
        <v>118</v>
      </c>
      <c r="F645" s="21">
        <f t="shared" ref="F645:G646" si="181">F646</f>
        <v>120137.09999999999</v>
      </c>
      <c r="G645" s="21">
        <f t="shared" si="181"/>
        <v>120137.1</v>
      </c>
    </row>
    <row r="646" spans="1:7" ht="31.5">
      <c r="A646" s="2" t="s">
        <v>9</v>
      </c>
      <c r="B646" s="2" t="s">
        <v>49</v>
      </c>
      <c r="C646" s="10" t="s">
        <v>307</v>
      </c>
      <c r="D646" s="100" t="s">
        <v>92</v>
      </c>
      <c r="E646" s="99" t="s">
        <v>93</v>
      </c>
      <c r="F646" s="21">
        <f t="shared" si="181"/>
        <v>120137.09999999999</v>
      </c>
      <c r="G646" s="21">
        <f t="shared" si="181"/>
        <v>120137.1</v>
      </c>
    </row>
    <row r="647" spans="1:7">
      <c r="A647" s="98" t="s">
        <v>9</v>
      </c>
      <c r="B647" s="2" t="s">
        <v>49</v>
      </c>
      <c r="C647" s="10" t="s">
        <v>307</v>
      </c>
      <c r="D647" s="98">
        <v>610</v>
      </c>
      <c r="E647" s="99" t="s">
        <v>99</v>
      </c>
      <c r="F647" s="21">
        <f>117065.2+2517.7+660.8-625.1+538.3-19.8</f>
        <v>120137.09999999999</v>
      </c>
      <c r="G647" s="21">
        <v>120137.1</v>
      </c>
    </row>
    <row r="648" spans="1:7" ht="47.25">
      <c r="A648" s="2" t="s">
        <v>9</v>
      </c>
      <c r="B648" s="2" t="s">
        <v>49</v>
      </c>
      <c r="C648" s="10" t="s">
        <v>400</v>
      </c>
      <c r="D648" s="10"/>
      <c r="E648" s="42" t="s">
        <v>401</v>
      </c>
      <c r="F648" s="169">
        <f>F649</f>
        <v>1956.7</v>
      </c>
      <c r="G648" s="169">
        <f t="shared" ref="G648:G649" si="182">G649</f>
        <v>1956.7</v>
      </c>
    </row>
    <row r="649" spans="1:7" ht="31.5">
      <c r="A649" s="2" t="s">
        <v>9</v>
      </c>
      <c r="B649" s="2" t="s">
        <v>49</v>
      </c>
      <c r="C649" s="10" t="s">
        <v>400</v>
      </c>
      <c r="D649" s="211" t="s">
        <v>92</v>
      </c>
      <c r="E649" s="213" t="s">
        <v>93</v>
      </c>
      <c r="F649" s="169">
        <f>F650</f>
        <v>1956.7</v>
      </c>
      <c r="G649" s="169">
        <f t="shared" si="182"/>
        <v>1956.7</v>
      </c>
    </row>
    <row r="650" spans="1:7">
      <c r="A650" s="212" t="s">
        <v>9</v>
      </c>
      <c r="B650" s="2" t="s">
        <v>49</v>
      </c>
      <c r="C650" s="10" t="s">
        <v>400</v>
      </c>
      <c r="D650" s="212">
        <v>610</v>
      </c>
      <c r="E650" s="213" t="s">
        <v>99</v>
      </c>
      <c r="F650" s="169">
        <v>1956.7</v>
      </c>
      <c r="G650" s="169">
        <v>1956.7</v>
      </c>
    </row>
    <row r="651" spans="1:7" ht="47.25">
      <c r="A651" s="212" t="s">
        <v>9</v>
      </c>
      <c r="B651" s="2" t="s">
        <v>49</v>
      </c>
      <c r="C651" s="10" t="s">
        <v>402</v>
      </c>
      <c r="D651" s="11"/>
      <c r="E651" s="213" t="s">
        <v>403</v>
      </c>
      <c r="F651" s="169">
        <f>F652</f>
        <v>19.8</v>
      </c>
      <c r="G651" s="169">
        <f t="shared" ref="G651:G652" si="183">G652</f>
        <v>19.8</v>
      </c>
    </row>
    <row r="652" spans="1:7" ht="31.5">
      <c r="A652" s="2" t="s">
        <v>9</v>
      </c>
      <c r="B652" s="2" t="s">
        <v>49</v>
      </c>
      <c r="C652" s="10" t="s">
        <v>402</v>
      </c>
      <c r="D652" s="211" t="s">
        <v>92</v>
      </c>
      <c r="E652" s="213" t="s">
        <v>93</v>
      </c>
      <c r="F652" s="169">
        <f>F653</f>
        <v>19.8</v>
      </c>
      <c r="G652" s="169">
        <f t="shared" si="183"/>
        <v>19.8</v>
      </c>
    </row>
    <row r="653" spans="1:7">
      <c r="A653" s="2" t="s">
        <v>9</v>
      </c>
      <c r="B653" s="2" t="s">
        <v>49</v>
      </c>
      <c r="C653" s="10" t="s">
        <v>402</v>
      </c>
      <c r="D653" s="212">
        <v>610</v>
      </c>
      <c r="E653" s="213" t="s">
        <v>99</v>
      </c>
      <c r="F653" s="169">
        <v>19.8</v>
      </c>
      <c r="G653" s="169">
        <v>19.8</v>
      </c>
    </row>
    <row r="654" spans="1:7" ht="78.75">
      <c r="A654" s="167" t="s">
        <v>9</v>
      </c>
      <c r="B654" s="22" t="s">
        <v>49</v>
      </c>
      <c r="C654" s="167">
        <v>2110500000</v>
      </c>
      <c r="D654" s="167"/>
      <c r="E654" s="168" t="s">
        <v>242</v>
      </c>
      <c r="F654" s="169">
        <f>F655</f>
        <v>3790.2000000000003</v>
      </c>
      <c r="G654" s="169">
        <f>G655</f>
        <v>3789.4</v>
      </c>
    </row>
    <row r="655" spans="1:7" ht="31.5">
      <c r="A655" s="184" t="s">
        <v>9</v>
      </c>
      <c r="B655" s="2" t="s">
        <v>49</v>
      </c>
      <c r="C655" s="10" t="s">
        <v>357</v>
      </c>
      <c r="D655" s="185"/>
      <c r="E655" s="56" t="s">
        <v>358</v>
      </c>
      <c r="F655" s="169">
        <f>F656</f>
        <v>3790.2000000000003</v>
      </c>
      <c r="G655" s="169">
        <f t="shared" ref="G655:G656" si="184">G656</f>
        <v>3789.4</v>
      </c>
    </row>
    <row r="656" spans="1:7" ht="31.5">
      <c r="A656" s="184" t="s">
        <v>9</v>
      </c>
      <c r="B656" s="2" t="s">
        <v>49</v>
      </c>
      <c r="C656" s="10" t="s">
        <v>357</v>
      </c>
      <c r="D656" s="184" t="s">
        <v>92</v>
      </c>
      <c r="E656" s="186" t="s">
        <v>93</v>
      </c>
      <c r="F656" s="169">
        <f>F657</f>
        <v>3790.2000000000003</v>
      </c>
      <c r="G656" s="169">
        <f t="shared" si="184"/>
        <v>3789.4</v>
      </c>
    </row>
    <row r="657" spans="1:7">
      <c r="A657" s="184" t="s">
        <v>9</v>
      </c>
      <c r="B657" s="22" t="s">
        <v>49</v>
      </c>
      <c r="C657" s="10" t="s">
        <v>357</v>
      </c>
      <c r="D657" s="185">
        <v>610</v>
      </c>
      <c r="E657" s="186" t="s">
        <v>99</v>
      </c>
      <c r="F657" s="169">
        <f>410.8+3059.6+319.8</f>
        <v>3790.2000000000003</v>
      </c>
      <c r="G657" s="169">
        <v>3789.4</v>
      </c>
    </row>
    <row r="658" spans="1:7" ht="63">
      <c r="A658" s="2" t="s">
        <v>9</v>
      </c>
      <c r="B658" s="2" t="s">
        <v>49</v>
      </c>
      <c r="C658" s="202">
        <v>2110800000</v>
      </c>
      <c r="D658" s="202"/>
      <c r="E658" s="131" t="s">
        <v>390</v>
      </c>
      <c r="F658" s="21">
        <f>F659</f>
        <v>80</v>
      </c>
      <c r="G658" s="21">
        <f t="shared" ref="G658:G660" si="185">G659</f>
        <v>79.900000000000006</v>
      </c>
    </row>
    <row r="659" spans="1:7" ht="31.5">
      <c r="A659" s="2" t="s">
        <v>9</v>
      </c>
      <c r="B659" s="22" t="s">
        <v>49</v>
      </c>
      <c r="C659" s="202">
        <v>2110820030</v>
      </c>
      <c r="D659" s="202"/>
      <c r="E659" s="203" t="s">
        <v>389</v>
      </c>
      <c r="F659" s="21">
        <f>F660</f>
        <v>80</v>
      </c>
      <c r="G659" s="21">
        <f t="shared" si="185"/>
        <v>79.900000000000006</v>
      </c>
    </row>
    <row r="660" spans="1:7" ht="31.5">
      <c r="A660" s="2" t="s">
        <v>9</v>
      </c>
      <c r="B660" s="103" t="s">
        <v>49</v>
      </c>
      <c r="C660" s="202">
        <v>2110820030</v>
      </c>
      <c r="D660" s="201" t="s">
        <v>92</v>
      </c>
      <c r="E660" s="203" t="s">
        <v>93</v>
      </c>
      <c r="F660" s="21">
        <f>F661</f>
        <v>80</v>
      </c>
      <c r="G660" s="21">
        <f t="shared" si="185"/>
        <v>79.900000000000006</v>
      </c>
    </row>
    <row r="661" spans="1:7">
      <c r="A661" s="2" t="s">
        <v>9</v>
      </c>
      <c r="B661" s="103" t="s">
        <v>49</v>
      </c>
      <c r="C661" s="202">
        <v>2110820030</v>
      </c>
      <c r="D661" s="202">
        <v>610</v>
      </c>
      <c r="E661" s="203" t="s">
        <v>99</v>
      </c>
      <c r="F661" s="169">
        <v>80</v>
      </c>
      <c r="G661" s="169">
        <v>79.900000000000006</v>
      </c>
    </row>
    <row r="662" spans="1:7" ht="31.5">
      <c r="A662" s="2" t="s">
        <v>9</v>
      </c>
      <c r="B662" s="103" t="s">
        <v>49</v>
      </c>
      <c r="C662" s="100">
        <v>2500000000</v>
      </c>
      <c r="D662" s="98"/>
      <c r="E662" s="99" t="s">
        <v>312</v>
      </c>
      <c r="F662" s="105">
        <f>F663</f>
        <v>8307.8000000000011</v>
      </c>
      <c r="G662" s="105">
        <f>G663</f>
        <v>7661.7000000000007</v>
      </c>
    </row>
    <row r="663" spans="1:7" ht="31.5">
      <c r="A663" s="2" t="s">
        <v>9</v>
      </c>
      <c r="B663" s="103" t="s">
        <v>49</v>
      </c>
      <c r="C663" s="100">
        <v>2520000000</v>
      </c>
      <c r="D663" s="98"/>
      <c r="E663" s="99" t="s">
        <v>241</v>
      </c>
      <c r="F663" s="105">
        <f>F668+F678+F682+F686+F664</f>
        <v>8307.8000000000011</v>
      </c>
      <c r="G663" s="105">
        <f t="shared" ref="G663" si="186">G668+G678+G682+G686+G664</f>
        <v>7661.7000000000007</v>
      </c>
    </row>
    <row r="664" spans="1:7" ht="63">
      <c r="A664" s="167" t="s">
        <v>9</v>
      </c>
      <c r="B664" s="103" t="s">
        <v>49</v>
      </c>
      <c r="C664" s="167">
        <v>2520100000</v>
      </c>
      <c r="D664" s="167"/>
      <c r="E664" s="56" t="s">
        <v>366</v>
      </c>
      <c r="F664" s="105">
        <f>F665</f>
        <v>1977.4000000000003</v>
      </c>
      <c r="G664" s="105">
        <f t="shared" ref="G664:G666" si="187">G665</f>
        <v>1933.8</v>
      </c>
    </row>
    <row r="665" spans="1:7" ht="31.5">
      <c r="A665" s="167" t="s">
        <v>9</v>
      </c>
      <c r="B665" s="103" t="s">
        <v>49</v>
      </c>
      <c r="C665" s="10" t="s">
        <v>367</v>
      </c>
      <c r="D665" s="167"/>
      <c r="E665" s="56" t="s">
        <v>368</v>
      </c>
      <c r="F665" s="105">
        <f>F666</f>
        <v>1977.4000000000003</v>
      </c>
      <c r="G665" s="105">
        <f t="shared" si="187"/>
        <v>1933.8</v>
      </c>
    </row>
    <row r="666" spans="1:7" ht="31.5">
      <c r="A666" s="2" t="s">
        <v>9</v>
      </c>
      <c r="B666" s="103" t="s">
        <v>49</v>
      </c>
      <c r="C666" s="10" t="s">
        <v>367</v>
      </c>
      <c r="D666" s="166" t="s">
        <v>92</v>
      </c>
      <c r="E666" s="56" t="s">
        <v>93</v>
      </c>
      <c r="F666" s="105">
        <f>F667</f>
        <v>1977.4000000000003</v>
      </c>
      <c r="G666" s="105">
        <f t="shared" si="187"/>
        <v>1933.8</v>
      </c>
    </row>
    <row r="667" spans="1:7">
      <c r="A667" s="2" t="s">
        <v>9</v>
      </c>
      <c r="B667" s="103" t="s">
        <v>49</v>
      </c>
      <c r="C667" s="10" t="s">
        <v>367</v>
      </c>
      <c r="D667" s="167">
        <v>610</v>
      </c>
      <c r="E667" s="56" t="s">
        <v>99</v>
      </c>
      <c r="F667" s="105">
        <f>52.3+2244.9-319.8</f>
        <v>1977.4000000000003</v>
      </c>
      <c r="G667" s="105">
        <v>1933.8</v>
      </c>
    </row>
    <row r="668" spans="1:7" ht="47.25">
      <c r="A668" s="2" t="s">
        <v>9</v>
      </c>
      <c r="B668" s="103" t="s">
        <v>49</v>
      </c>
      <c r="C668" s="100">
        <v>2520200000</v>
      </c>
      <c r="D668" s="98"/>
      <c r="E668" s="99" t="s">
        <v>287</v>
      </c>
      <c r="F668" s="105">
        <f>F675+F672+F669</f>
        <v>3253.4</v>
      </c>
      <c r="G668" s="105">
        <f t="shared" ref="G668" si="188">G675+G672+G669</f>
        <v>3227.2</v>
      </c>
    </row>
    <row r="669" spans="1:7" ht="47.25">
      <c r="A669" s="2" t="s">
        <v>9</v>
      </c>
      <c r="B669" s="103" t="s">
        <v>49</v>
      </c>
      <c r="C669" s="150">
        <v>2520211040</v>
      </c>
      <c r="D669" s="151"/>
      <c r="E669" s="94" t="s">
        <v>352</v>
      </c>
      <c r="F669" s="105">
        <f t="shared" ref="F669:G670" si="189">F670</f>
        <v>1226.5</v>
      </c>
      <c r="G669" s="105">
        <f t="shared" si="189"/>
        <v>1226.5</v>
      </c>
    </row>
    <row r="670" spans="1:7" ht="31.5">
      <c r="A670" s="2" t="s">
        <v>9</v>
      </c>
      <c r="B670" s="103" t="s">
        <v>49</v>
      </c>
      <c r="C670" s="150">
        <v>2520211040</v>
      </c>
      <c r="D670" s="95">
        <v>600</v>
      </c>
      <c r="E670" s="94" t="s">
        <v>93</v>
      </c>
      <c r="F670" s="105">
        <f t="shared" si="189"/>
        <v>1226.5</v>
      </c>
      <c r="G670" s="105">
        <f t="shared" si="189"/>
        <v>1226.5</v>
      </c>
    </row>
    <row r="671" spans="1:7">
      <c r="A671" s="2" t="s">
        <v>9</v>
      </c>
      <c r="B671" s="103" t="s">
        <v>49</v>
      </c>
      <c r="C671" s="150">
        <v>2520211040</v>
      </c>
      <c r="D671" s="93">
        <v>610</v>
      </c>
      <c r="E671" s="94" t="s">
        <v>99</v>
      </c>
      <c r="F671" s="105">
        <f>1579-326-26.5</f>
        <v>1226.5</v>
      </c>
      <c r="G671" s="105">
        <v>1226.5</v>
      </c>
    </row>
    <row r="672" spans="1:7">
      <c r="A672" s="2" t="s">
        <v>9</v>
      </c>
      <c r="B672" s="2" t="s">
        <v>49</v>
      </c>
      <c r="C672" s="122">
        <v>2520220190</v>
      </c>
      <c r="D672" s="122"/>
      <c r="E672" s="124" t="s">
        <v>324</v>
      </c>
      <c r="F672" s="105">
        <f t="shared" ref="F672:G673" si="190">F673</f>
        <v>774.2</v>
      </c>
      <c r="G672" s="105">
        <f t="shared" si="190"/>
        <v>774.2</v>
      </c>
    </row>
    <row r="673" spans="1:7" ht="31.5">
      <c r="A673" s="2" t="s">
        <v>9</v>
      </c>
      <c r="B673" s="2" t="s">
        <v>49</v>
      </c>
      <c r="C673" s="122">
        <v>2520220190</v>
      </c>
      <c r="D673" s="122" t="s">
        <v>92</v>
      </c>
      <c r="E673" s="124" t="s">
        <v>93</v>
      </c>
      <c r="F673" s="105">
        <f t="shared" si="190"/>
        <v>774.2</v>
      </c>
      <c r="G673" s="105">
        <f t="shared" si="190"/>
        <v>774.2</v>
      </c>
    </row>
    <row r="674" spans="1:7">
      <c r="A674" s="2" t="s">
        <v>9</v>
      </c>
      <c r="B674" s="2" t="s">
        <v>49</v>
      </c>
      <c r="C674" s="122">
        <v>2520220190</v>
      </c>
      <c r="D674" s="122">
        <v>610</v>
      </c>
      <c r="E674" s="124" t="s">
        <v>99</v>
      </c>
      <c r="F674" s="105">
        <f>110+664.2</f>
        <v>774.2</v>
      </c>
      <c r="G674" s="105">
        <v>774.2</v>
      </c>
    </row>
    <row r="675" spans="1:7" ht="47.25">
      <c r="A675" s="2" t="s">
        <v>9</v>
      </c>
      <c r="B675" s="103" t="s">
        <v>49</v>
      </c>
      <c r="C675" s="100" t="s">
        <v>308</v>
      </c>
      <c r="D675" s="98"/>
      <c r="E675" s="94" t="s">
        <v>248</v>
      </c>
      <c r="F675" s="105">
        <f t="shared" ref="F675:G676" si="191">F676</f>
        <v>1252.7</v>
      </c>
      <c r="G675" s="105">
        <f t="shared" si="191"/>
        <v>1226.5</v>
      </c>
    </row>
    <row r="676" spans="1:7" ht="31.5">
      <c r="A676" s="2" t="s">
        <v>9</v>
      </c>
      <c r="B676" s="103" t="s">
        <v>49</v>
      </c>
      <c r="C676" s="100" t="s">
        <v>308</v>
      </c>
      <c r="D676" s="95">
        <v>600</v>
      </c>
      <c r="E676" s="94" t="s">
        <v>93</v>
      </c>
      <c r="F676" s="105">
        <f t="shared" si="191"/>
        <v>1252.7</v>
      </c>
      <c r="G676" s="105">
        <f t="shared" si="191"/>
        <v>1226.5</v>
      </c>
    </row>
    <row r="677" spans="1:7">
      <c r="A677" s="2" t="s">
        <v>9</v>
      </c>
      <c r="B677" s="103" t="s">
        <v>49</v>
      </c>
      <c r="C677" s="100" t="s">
        <v>308</v>
      </c>
      <c r="D677" s="93">
        <v>610</v>
      </c>
      <c r="E677" s="94" t="s">
        <v>99</v>
      </c>
      <c r="F677" s="105">
        <f>1579-326.3</f>
        <v>1252.7</v>
      </c>
      <c r="G677" s="105">
        <v>1226.5</v>
      </c>
    </row>
    <row r="678" spans="1:7" ht="31.5">
      <c r="A678" s="2" t="s">
        <v>9</v>
      </c>
      <c r="B678" s="103" t="s">
        <v>49</v>
      </c>
      <c r="C678" s="122">
        <v>2520400000</v>
      </c>
      <c r="D678" s="123"/>
      <c r="E678" s="56" t="s">
        <v>330</v>
      </c>
      <c r="F678" s="105">
        <f>F679</f>
        <v>1266.2</v>
      </c>
      <c r="G678" s="105">
        <f t="shared" ref="G678:G680" si="192">G679</f>
        <v>1145.4000000000001</v>
      </c>
    </row>
    <row r="679" spans="1:7">
      <c r="A679" s="2" t="s">
        <v>9</v>
      </c>
      <c r="B679" s="103" t="s">
        <v>49</v>
      </c>
      <c r="C679" s="122">
        <v>2520420300</v>
      </c>
      <c r="D679" s="123"/>
      <c r="E679" s="56" t="s">
        <v>331</v>
      </c>
      <c r="F679" s="105">
        <f>F680</f>
        <v>1266.2</v>
      </c>
      <c r="G679" s="105">
        <f t="shared" si="192"/>
        <v>1145.4000000000001</v>
      </c>
    </row>
    <row r="680" spans="1:7" ht="31.5">
      <c r="A680" s="2" t="s">
        <v>9</v>
      </c>
      <c r="B680" s="103" t="s">
        <v>49</v>
      </c>
      <c r="C680" s="122">
        <v>2520420300</v>
      </c>
      <c r="D680" s="122" t="s">
        <v>92</v>
      </c>
      <c r="E680" s="56" t="s">
        <v>93</v>
      </c>
      <c r="F680" s="105">
        <f>F681</f>
        <v>1266.2</v>
      </c>
      <c r="G680" s="105">
        <f t="shared" si="192"/>
        <v>1145.4000000000001</v>
      </c>
    </row>
    <row r="681" spans="1:7">
      <c r="A681" s="2" t="s">
        <v>9</v>
      </c>
      <c r="B681" s="103" t="s">
        <v>49</v>
      </c>
      <c r="C681" s="122">
        <v>2520420300</v>
      </c>
      <c r="D681" s="123">
        <v>610</v>
      </c>
      <c r="E681" s="56" t="s">
        <v>99</v>
      </c>
      <c r="F681" s="105">
        <f>1119.8+146.4</f>
        <v>1266.2</v>
      </c>
      <c r="G681" s="105">
        <v>1145.4000000000001</v>
      </c>
    </row>
    <row r="682" spans="1:7" ht="31.5">
      <c r="A682" s="2" t="s">
        <v>9</v>
      </c>
      <c r="B682" s="103" t="s">
        <v>49</v>
      </c>
      <c r="C682" s="150">
        <v>2520500000</v>
      </c>
      <c r="D682" s="151"/>
      <c r="E682" s="152" t="s">
        <v>341</v>
      </c>
      <c r="F682" s="105">
        <f>F683</f>
        <v>1232.6000000000001</v>
      </c>
      <c r="G682" s="105">
        <f t="shared" ref="G682:G684" si="193">G683</f>
        <v>903.3</v>
      </c>
    </row>
    <row r="683" spans="1:7">
      <c r="A683" s="2" t="s">
        <v>9</v>
      </c>
      <c r="B683" s="103" t="s">
        <v>49</v>
      </c>
      <c r="C683" s="150">
        <v>2520520300</v>
      </c>
      <c r="D683" s="151"/>
      <c r="E683" s="152" t="s">
        <v>342</v>
      </c>
      <c r="F683" s="105">
        <f>F684</f>
        <v>1232.6000000000001</v>
      </c>
      <c r="G683" s="105">
        <f t="shared" si="193"/>
        <v>903.3</v>
      </c>
    </row>
    <row r="684" spans="1:7" ht="31.5">
      <c r="A684" s="2" t="s">
        <v>9</v>
      </c>
      <c r="B684" s="103" t="s">
        <v>49</v>
      </c>
      <c r="C684" s="150">
        <v>2520520300</v>
      </c>
      <c r="D684" s="150" t="s">
        <v>92</v>
      </c>
      <c r="E684" s="56" t="s">
        <v>93</v>
      </c>
      <c r="F684" s="105">
        <f>F685</f>
        <v>1232.6000000000001</v>
      </c>
      <c r="G684" s="105">
        <f t="shared" si="193"/>
        <v>903.3</v>
      </c>
    </row>
    <row r="685" spans="1:7">
      <c r="A685" s="2" t="s">
        <v>9</v>
      </c>
      <c r="B685" s="103" t="s">
        <v>49</v>
      </c>
      <c r="C685" s="150">
        <v>2520520300</v>
      </c>
      <c r="D685" s="151">
        <v>610</v>
      </c>
      <c r="E685" s="56" t="s">
        <v>99</v>
      </c>
      <c r="F685" s="105">
        <f>1535.2-138.1-84.5-80</f>
        <v>1232.6000000000001</v>
      </c>
      <c r="G685" s="105">
        <v>903.3</v>
      </c>
    </row>
    <row r="686" spans="1:7" ht="31.5">
      <c r="A686" s="2" t="s">
        <v>9</v>
      </c>
      <c r="B686" s="103" t="s">
        <v>49</v>
      </c>
      <c r="C686" s="150">
        <v>2520600000</v>
      </c>
      <c r="D686" s="151"/>
      <c r="E686" s="152" t="s">
        <v>340</v>
      </c>
      <c r="F686" s="105">
        <f>F687</f>
        <v>578.20000000000005</v>
      </c>
      <c r="G686" s="105">
        <f t="shared" ref="G686:G688" si="194">G687</f>
        <v>452</v>
      </c>
    </row>
    <row r="687" spans="1:7">
      <c r="A687" s="2" t="s">
        <v>9</v>
      </c>
      <c r="B687" s="103" t="s">
        <v>49</v>
      </c>
      <c r="C687" s="150">
        <v>2520620200</v>
      </c>
      <c r="D687" s="151"/>
      <c r="E687" s="152" t="s">
        <v>275</v>
      </c>
      <c r="F687" s="105">
        <f>F688</f>
        <v>578.20000000000005</v>
      </c>
      <c r="G687" s="105">
        <f t="shared" si="194"/>
        <v>452</v>
      </c>
    </row>
    <row r="688" spans="1:7" ht="31.5">
      <c r="A688" s="2" t="s">
        <v>9</v>
      </c>
      <c r="B688" s="103" t="s">
        <v>49</v>
      </c>
      <c r="C688" s="150">
        <v>2520620200</v>
      </c>
      <c r="D688" s="150" t="s">
        <v>92</v>
      </c>
      <c r="E688" s="56" t="s">
        <v>93</v>
      </c>
      <c r="F688" s="105">
        <f>F689</f>
        <v>578.20000000000005</v>
      </c>
      <c r="G688" s="105">
        <f t="shared" si="194"/>
        <v>452</v>
      </c>
    </row>
    <row r="689" spans="1:7">
      <c r="A689" s="2" t="s">
        <v>9</v>
      </c>
      <c r="B689" s="103" t="s">
        <v>49</v>
      </c>
      <c r="C689" s="150">
        <v>2520620200</v>
      </c>
      <c r="D689" s="151">
        <v>610</v>
      </c>
      <c r="E689" s="56" t="s">
        <v>99</v>
      </c>
      <c r="F689" s="105">
        <f>586.5-8.3</f>
        <v>578.20000000000005</v>
      </c>
      <c r="G689" s="105">
        <v>452</v>
      </c>
    </row>
    <row r="690" spans="1:7">
      <c r="A690" s="98" t="s">
        <v>9</v>
      </c>
      <c r="B690" s="98" t="s">
        <v>50</v>
      </c>
      <c r="C690" s="98" t="s">
        <v>64</v>
      </c>
      <c r="D690" s="98" t="s">
        <v>64</v>
      </c>
      <c r="E690" s="99" t="s">
        <v>11</v>
      </c>
      <c r="F690" s="21">
        <f>F691+F763+F785</f>
        <v>397079.69999999995</v>
      </c>
      <c r="G690" s="21">
        <f>G691+G763+G785</f>
        <v>396128.6</v>
      </c>
    </row>
    <row r="691" spans="1:7" ht="33.75" customHeight="1">
      <c r="A691" s="98" t="s">
        <v>9</v>
      </c>
      <c r="B691" s="98" t="s">
        <v>50</v>
      </c>
      <c r="C691" s="100">
        <v>2100000000</v>
      </c>
      <c r="D691" s="98"/>
      <c r="E691" s="99" t="s">
        <v>313</v>
      </c>
      <c r="F691" s="21">
        <f>F692+F751+F740</f>
        <v>391533.89999999997</v>
      </c>
      <c r="G691" s="21">
        <f>G692+G751+G740</f>
        <v>391258.5</v>
      </c>
    </row>
    <row r="692" spans="1:7">
      <c r="A692" s="98" t="s">
        <v>9</v>
      </c>
      <c r="B692" s="98" t="s">
        <v>50</v>
      </c>
      <c r="C692" s="98">
        <v>2110000000</v>
      </c>
      <c r="D692" s="98"/>
      <c r="E692" s="99" t="s">
        <v>212</v>
      </c>
      <c r="F692" s="21">
        <f>F693+F706+F720+F724+F710+F732+F736+F728</f>
        <v>385899.89999999997</v>
      </c>
      <c r="G692" s="21">
        <f>G693+G706+G720+G724+G710+G732+G736+G728</f>
        <v>385656.5</v>
      </c>
    </row>
    <row r="693" spans="1:7" ht="47.25">
      <c r="A693" s="98" t="s">
        <v>9</v>
      </c>
      <c r="B693" s="98" t="s">
        <v>50</v>
      </c>
      <c r="C693" s="98">
        <v>2110100000</v>
      </c>
      <c r="D693" s="24"/>
      <c r="E693" s="99" t="s">
        <v>160</v>
      </c>
      <c r="F693" s="21">
        <f>F697+F694+F700+F703</f>
        <v>307676</v>
      </c>
      <c r="G693" s="21">
        <f t="shared" ref="G693" si="195">G697+G694+G700+G703</f>
        <v>307676</v>
      </c>
    </row>
    <row r="694" spans="1:7" ht="94.5">
      <c r="A694" s="98" t="s">
        <v>9</v>
      </c>
      <c r="B694" s="98" t="s">
        <v>50</v>
      </c>
      <c r="C694" s="98">
        <v>2110110750</v>
      </c>
      <c r="D694" s="98"/>
      <c r="E694" s="99" t="s">
        <v>161</v>
      </c>
      <c r="F694" s="21">
        <f t="shared" ref="F694:G695" si="196">F695</f>
        <v>258828.3</v>
      </c>
      <c r="G694" s="21">
        <f t="shared" si="196"/>
        <v>258828.3</v>
      </c>
    </row>
    <row r="695" spans="1:7" ht="31.5">
      <c r="A695" s="98" t="s">
        <v>9</v>
      </c>
      <c r="B695" s="98" t="s">
        <v>50</v>
      </c>
      <c r="C695" s="98">
        <v>2110110750</v>
      </c>
      <c r="D695" s="100" t="s">
        <v>92</v>
      </c>
      <c r="E695" s="99" t="s">
        <v>93</v>
      </c>
      <c r="F695" s="21">
        <f t="shared" si="196"/>
        <v>258828.3</v>
      </c>
      <c r="G695" s="21">
        <f t="shared" si="196"/>
        <v>258828.3</v>
      </c>
    </row>
    <row r="696" spans="1:7">
      <c r="A696" s="98" t="s">
        <v>9</v>
      </c>
      <c r="B696" s="98" t="s">
        <v>50</v>
      </c>
      <c r="C696" s="98">
        <v>2110110750</v>
      </c>
      <c r="D696" s="98">
        <v>610</v>
      </c>
      <c r="E696" s="99" t="s">
        <v>99</v>
      </c>
      <c r="F696" s="21">
        <f>210678.5+17949.3+29532.9+667.6</f>
        <v>258828.3</v>
      </c>
      <c r="G696" s="21">
        <v>258828.3</v>
      </c>
    </row>
    <row r="697" spans="1:7" ht="31.5">
      <c r="A697" s="98" t="s">
        <v>9</v>
      </c>
      <c r="B697" s="98" t="s">
        <v>50</v>
      </c>
      <c r="C697" s="10" t="s">
        <v>307</v>
      </c>
      <c r="D697" s="10"/>
      <c r="E697" s="42" t="s">
        <v>118</v>
      </c>
      <c r="F697" s="21">
        <f t="shared" ref="F697:G698" si="197">F698</f>
        <v>48510.69999999999</v>
      </c>
      <c r="G697" s="21">
        <f t="shared" si="197"/>
        <v>48510.7</v>
      </c>
    </row>
    <row r="698" spans="1:7" ht="31.5">
      <c r="A698" s="98" t="s">
        <v>9</v>
      </c>
      <c r="B698" s="98" t="s">
        <v>50</v>
      </c>
      <c r="C698" s="10" t="s">
        <v>307</v>
      </c>
      <c r="D698" s="100" t="s">
        <v>92</v>
      </c>
      <c r="E698" s="99" t="s">
        <v>93</v>
      </c>
      <c r="F698" s="21">
        <f t="shared" si="197"/>
        <v>48510.69999999999</v>
      </c>
      <c r="G698" s="21">
        <f t="shared" si="197"/>
        <v>48510.7</v>
      </c>
    </row>
    <row r="699" spans="1:7">
      <c r="A699" s="98" t="s">
        <v>9</v>
      </c>
      <c r="B699" s="98" t="s">
        <v>50</v>
      </c>
      <c r="C699" s="10" t="s">
        <v>307</v>
      </c>
      <c r="D699" s="98">
        <v>610</v>
      </c>
      <c r="E699" s="99" t="s">
        <v>99</v>
      </c>
      <c r="F699" s="21">
        <f>46369.9+491.7+900.7+625.1+126.7-3.4</f>
        <v>48510.69999999999</v>
      </c>
      <c r="G699" s="21">
        <v>48510.7</v>
      </c>
    </row>
    <row r="700" spans="1:7" ht="47.25">
      <c r="A700" s="212" t="s">
        <v>9</v>
      </c>
      <c r="B700" s="212" t="s">
        <v>50</v>
      </c>
      <c r="C700" s="10" t="s">
        <v>400</v>
      </c>
      <c r="D700" s="10"/>
      <c r="E700" s="42" t="s">
        <v>401</v>
      </c>
      <c r="F700" s="21">
        <f>F701</f>
        <v>333.6</v>
      </c>
      <c r="G700" s="21">
        <f t="shared" ref="G700:G701" si="198">G701</f>
        <v>333.6</v>
      </c>
    </row>
    <row r="701" spans="1:7" ht="31.5">
      <c r="A701" s="212" t="s">
        <v>9</v>
      </c>
      <c r="B701" s="212" t="s">
        <v>50</v>
      </c>
      <c r="C701" s="10" t="s">
        <v>400</v>
      </c>
      <c r="D701" s="211" t="s">
        <v>92</v>
      </c>
      <c r="E701" s="213" t="s">
        <v>93</v>
      </c>
      <c r="F701" s="21">
        <f>F702</f>
        <v>333.6</v>
      </c>
      <c r="G701" s="21">
        <f t="shared" si="198"/>
        <v>333.6</v>
      </c>
    </row>
    <row r="702" spans="1:7">
      <c r="A702" s="212" t="s">
        <v>9</v>
      </c>
      <c r="B702" s="212" t="s">
        <v>50</v>
      </c>
      <c r="C702" s="10" t="s">
        <v>400</v>
      </c>
      <c r="D702" s="212">
        <v>610</v>
      </c>
      <c r="E702" s="213" t="s">
        <v>99</v>
      </c>
      <c r="F702" s="21">
        <v>333.6</v>
      </c>
      <c r="G702" s="21">
        <v>333.6</v>
      </c>
    </row>
    <row r="703" spans="1:7" ht="47.25">
      <c r="A703" s="212" t="s">
        <v>9</v>
      </c>
      <c r="B703" s="212" t="s">
        <v>50</v>
      </c>
      <c r="C703" s="10" t="s">
        <v>402</v>
      </c>
      <c r="D703" s="11"/>
      <c r="E703" s="213" t="s">
        <v>403</v>
      </c>
      <c r="F703" s="21">
        <f>F704</f>
        <v>3.4</v>
      </c>
      <c r="G703" s="21">
        <f t="shared" ref="G703:G704" si="199">G704</f>
        <v>3.4</v>
      </c>
    </row>
    <row r="704" spans="1:7" ht="31.5">
      <c r="A704" s="212" t="s">
        <v>9</v>
      </c>
      <c r="B704" s="212" t="s">
        <v>50</v>
      </c>
      <c r="C704" s="10" t="s">
        <v>402</v>
      </c>
      <c r="D704" s="211" t="s">
        <v>92</v>
      </c>
      <c r="E704" s="213" t="s">
        <v>93</v>
      </c>
      <c r="F704" s="21">
        <f>F705</f>
        <v>3.4</v>
      </c>
      <c r="G704" s="21">
        <f t="shared" si="199"/>
        <v>3.4</v>
      </c>
    </row>
    <row r="705" spans="1:7">
      <c r="A705" s="212" t="s">
        <v>9</v>
      </c>
      <c r="B705" s="212" t="s">
        <v>50</v>
      </c>
      <c r="C705" s="10" t="s">
        <v>402</v>
      </c>
      <c r="D705" s="212">
        <v>610</v>
      </c>
      <c r="E705" s="213" t="s">
        <v>99</v>
      </c>
      <c r="F705" s="21">
        <v>3.4</v>
      </c>
      <c r="G705" s="21">
        <v>3.4</v>
      </c>
    </row>
    <row r="706" spans="1:7" ht="31.5">
      <c r="A706" s="98" t="s">
        <v>9</v>
      </c>
      <c r="B706" s="98" t="s">
        <v>50</v>
      </c>
      <c r="C706" s="98">
        <v>2110300000</v>
      </c>
      <c r="D706" s="98"/>
      <c r="E706" s="99" t="s">
        <v>162</v>
      </c>
      <c r="F706" s="21">
        <f t="shared" ref="F706:G708" si="200">F707</f>
        <v>25004.799999999999</v>
      </c>
      <c r="G706" s="21">
        <f t="shared" si="200"/>
        <v>25004.799999999999</v>
      </c>
    </row>
    <row r="707" spans="1:7" ht="47.25">
      <c r="A707" s="98" t="s">
        <v>9</v>
      </c>
      <c r="B707" s="98" t="s">
        <v>50</v>
      </c>
      <c r="C707" s="98" t="s">
        <v>370</v>
      </c>
      <c r="D707" s="98"/>
      <c r="E707" s="99" t="s">
        <v>266</v>
      </c>
      <c r="F707" s="21">
        <f t="shared" si="200"/>
        <v>25004.799999999999</v>
      </c>
      <c r="G707" s="21">
        <f t="shared" si="200"/>
        <v>25004.799999999999</v>
      </c>
    </row>
    <row r="708" spans="1:7" ht="31.5">
      <c r="A708" s="98" t="s">
        <v>9</v>
      </c>
      <c r="B708" s="98" t="s">
        <v>50</v>
      </c>
      <c r="C708" s="98" t="s">
        <v>370</v>
      </c>
      <c r="D708" s="100" t="s">
        <v>92</v>
      </c>
      <c r="E708" s="99" t="s">
        <v>93</v>
      </c>
      <c r="F708" s="21">
        <f t="shared" si="200"/>
        <v>25004.799999999999</v>
      </c>
      <c r="G708" s="21">
        <f t="shared" si="200"/>
        <v>25004.799999999999</v>
      </c>
    </row>
    <row r="709" spans="1:7">
      <c r="A709" s="98" t="s">
        <v>9</v>
      </c>
      <c r="B709" s="98" t="s">
        <v>50</v>
      </c>
      <c r="C709" s="98" t="s">
        <v>370</v>
      </c>
      <c r="D709" s="98">
        <v>610</v>
      </c>
      <c r="E709" s="99" t="s">
        <v>99</v>
      </c>
      <c r="F709" s="21">
        <f>2437.6+21938.8+565.5+62.9</f>
        <v>25004.799999999999</v>
      </c>
      <c r="G709" s="21">
        <v>25004.799999999999</v>
      </c>
    </row>
    <row r="710" spans="1:7" ht="78.75">
      <c r="A710" s="98" t="s">
        <v>9</v>
      </c>
      <c r="B710" s="98" t="s">
        <v>50</v>
      </c>
      <c r="C710" s="98">
        <v>2110500000</v>
      </c>
      <c r="D710" s="98"/>
      <c r="E710" s="99" t="s">
        <v>242</v>
      </c>
      <c r="F710" s="21">
        <f>F711+F717+F714</f>
        <v>31370.2</v>
      </c>
      <c r="G710" s="21">
        <f t="shared" ref="G710" si="201">G711+G717+G714</f>
        <v>31279</v>
      </c>
    </row>
    <row r="711" spans="1:7" ht="47.25">
      <c r="A711" s="150" t="s">
        <v>9</v>
      </c>
      <c r="B711" s="150" t="s">
        <v>50</v>
      </c>
      <c r="C711" s="150">
        <v>2110510440</v>
      </c>
      <c r="D711" s="150"/>
      <c r="E711" s="152" t="s">
        <v>353</v>
      </c>
      <c r="F711" s="21">
        <f>F712</f>
        <v>17661.3</v>
      </c>
      <c r="G711" s="21">
        <f t="shared" ref="G711:G712" si="202">G712</f>
        <v>17651.400000000001</v>
      </c>
    </row>
    <row r="712" spans="1:7" ht="31.5">
      <c r="A712" s="150" t="s">
        <v>9</v>
      </c>
      <c r="B712" s="150" t="s">
        <v>50</v>
      </c>
      <c r="C712" s="150">
        <v>2110510440</v>
      </c>
      <c r="D712" s="150" t="s">
        <v>92</v>
      </c>
      <c r="E712" s="152" t="s">
        <v>93</v>
      </c>
      <c r="F712" s="21">
        <f>F713</f>
        <v>17661.3</v>
      </c>
      <c r="G712" s="21">
        <f t="shared" si="202"/>
        <v>17651.400000000001</v>
      </c>
    </row>
    <row r="713" spans="1:7">
      <c r="A713" s="150" t="s">
        <v>9</v>
      </c>
      <c r="B713" s="150" t="s">
        <v>50</v>
      </c>
      <c r="C713" s="150">
        <v>2110510440</v>
      </c>
      <c r="D713" s="150">
        <v>610</v>
      </c>
      <c r="E713" s="152" t="s">
        <v>99</v>
      </c>
      <c r="F713" s="21">
        <f>2727.5+15246.5+503.6-816.3</f>
        <v>17661.3</v>
      </c>
      <c r="G713" s="21">
        <v>17651.400000000001</v>
      </c>
    </row>
    <row r="714" spans="1:7" ht="31.5">
      <c r="A714" s="166" t="s">
        <v>9</v>
      </c>
      <c r="B714" s="167" t="s">
        <v>50</v>
      </c>
      <c r="C714" s="10" t="s">
        <v>357</v>
      </c>
      <c r="D714" s="167"/>
      <c r="E714" s="56" t="s">
        <v>358</v>
      </c>
      <c r="F714" s="21">
        <f>F715</f>
        <v>5810</v>
      </c>
      <c r="G714" s="21">
        <f t="shared" ref="G714:G715" si="203">G715</f>
        <v>5750</v>
      </c>
    </row>
    <row r="715" spans="1:7" ht="31.5">
      <c r="A715" s="166" t="s">
        <v>9</v>
      </c>
      <c r="B715" s="167" t="s">
        <v>50</v>
      </c>
      <c r="C715" s="10" t="s">
        <v>357</v>
      </c>
      <c r="D715" s="166" t="s">
        <v>92</v>
      </c>
      <c r="E715" s="168" t="s">
        <v>93</v>
      </c>
      <c r="F715" s="21">
        <f>F716</f>
        <v>5810</v>
      </c>
      <c r="G715" s="21">
        <f t="shared" si="203"/>
        <v>5750</v>
      </c>
    </row>
    <row r="716" spans="1:7">
      <c r="A716" s="166" t="s">
        <v>9</v>
      </c>
      <c r="B716" s="167" t="s">
        <v>50</v>
      </c>
      <c r="C716" s="10" t="s">
        <v>357</v>
      </c>
      <c r="D716" s="167">
        <v>610</v>
      </c>
      <c r="E716" s="168" t="s">
        <v>99</v>
      </c>
      <c r="F716" s="21">
        <f>2153.6+253.8+265.3+2907.3+230</f>
        <v>5810</v>
      </c>
      <c r="G716" s="21">
        <v>5750</v>
      </c>
    </row>
    <row r="717" spans="1:7" ht="47.25">
      <c r="A717" s="122" t="s">
        <v>9</v>
      </c>
      <c r="B717" s="122" t="s">
        <v>50</v>
      </c>
      <c r="C717" s="122" t="s">
        <v>328</v>
      </c>
      <c r="D717" s="122"/>
      <c r="E717" s="124" t="s">
        <v>325</v>
      </c>
      <c r="F717" s="21">
        <f t="shared" ref="F717:G718" si="204">F718</f>
        <v>7898.9000000000015</v>
      </c>
      <c r="G717" s="21">
        <f t="shared" si="204"/>
        <v>7877.6</v>
      </c>
    </row>
    <row r="718" spans="1:7" ht="31.5">
      <c r="A718" s="122" t="s">
        <v>9</v>
      </c>
      <c r="B718" s="122" t="s">
        <v>50</v>
      </c>
      <c r="C718" s="122" t="s">
        <v>328</v>
      </c>
      <c r="D718" s="122" t="s">
        <v>92</v>
      </c>
      <c r="E718" s="124" t="s">
        <v>93</v>
      </c>
      <c r="F718" s="21">
        <f t="shared" si="204"/>
        <v>7898.9000000000015</v>
      </c>
      <c r="G718" s="21">
        <f t="shared" si="204"/>
        <v>7877.6</v>
      </c>
    </row>
    <row r="719" spans="1:7">
      <c r="A719" s="122" t="s">
        <v>9</v>
      </c>
      <c r="B719" s="122" t="s">
        <v>50</v>
      </c>
      <c r="C719" s="122" t="s">
        <v>328</v>
      </c>
      <c r="D719" s="122">
        <v>610</v>
      </c>
      <c r="E719" s="124" t="s">
        <v>99</v>
      </c>
      <c r="F719" s="21">
        <f>681.8+20162.2-253.8-427.2-11620.4-193.8-449.9</f>
        <v>7898.9000000000015</v>
      </c>
      <c r="G719" s="21">
        <v>7877.6</v>
      </c>
    </row>
    <row r="720" spans="1:7" ht="47.25">
      <c r="A720" s="98" t="s">
        <v>9</v>
      </c>
      <c r="B720" s="98" t="s">
        <v>50</v>
      </c>
      <c r="C720" s="98">
        <v>2110600000</v>
      </c>
      <c r="D720" s="98"/>
      <c r="E720" s="99" t="s">
        <v>267</v>
      </c>
      <c r="F720" s="21">
        <f>F721</f>
        <v>14269.999999999998</v>
      </c>
      <c r="G720" s="21">
        <f t="shared" ref="G720:G722" si="205">G721</f>
        <v>14270</v>
      </c>
    </row>
    <row r="721" spans="1:7" ht="47.25">
      <c r="A721" s="98" t="s">
        <v>9</v>
      </c>
      <c r="B721" s="98" t="s">
        <v>50</v>
      </c>
      <c r="C721" s="98">
        <v>2110653031</v>
      </c>
      <c r="D721" s="98"/>
      <c r="E721" s="62" t="s">
        <v>268</v>
      </c>
      <c r="F721" s="21">
        <f>F722</f>
        <v>14269.999999999998</v>
      </c>
      <c r="G721" s="21">
        <f t="shared" si="205"/>
        <v>14270</v>
      </c>
    </row>
    <row r="722" spans="1:7" ht="31.5">
      <c r="A722" s="98" t="s">
        <v>9</v>
      </c>
      <c r="B722" s="98" t="s">
        <v>50</v>
      </c>
      <c r="C722" s="98">
        <v>2110653031</v>
      </c>
      <c r="D722" s="100" t="s">
        <v>92</v>
      </c>
      <c r="E722" s="99" t="s">
        <v>93</v>
      </c>
      <c r="F722" s="21">
        <f>F723</f>
        <v>14269.999999999998</v>
      </c>
      <c r="G722" s="21">
        <f t="shared" si="205"/>
        <v>14270</v>
      </c>
    </row>
    <row r="723" spans="1:7">
      <c r="A723" s="98" t="s">
        <v>9</v>
      </c>
      <c r="B723" s="98" t="s">
        <v>50</v>
      </c>
      <c r="C723" s="98">
        <v>2110653031</v>
      </c>
      <c r="D723" s="98">
        <v>610</v>
      </c>
      <c r="E723" s="99" t="s">
        <v>99</v>
      </c>
      <c r="F723" s="21">
        <f>14530.3-360.7+100.4</f>
        <v>14269.999999999998</v>
      </c>
      <c r="G723" s="21">
        <v>14270</v>
      </c>
    </row>
    <row r="724" spans="1:7" ht="47.25">
      <c r="A724" s="98" t="s">
        <v>9</v>
      </c>
      <c r="B724" s="98" t="s">
        <v>50</v>
      </c>
      <c r="C724" s="98">
        <v>2110700000</v>
      </c>
      <c r="D724" s="98"/>
      <c r="E724" s="99" t="s">
        <v>277</v>
      </c>
      <c r="F724" s="21">
        <f>F725</f>
        <v>3003.1</v>
      </c>
      <c r="G724" s="21">
        <f t="shared" ref="G724:G726" si="206">G725</f>
        <v>2850.9</v>
      </c>
    </row>
    <row r="725" spans="1:7" ht="47.25">
      <c r="A725" s="98" t="s">
        <v>9</v>
      </c>
      <c r="B725" s="98" t="s">
        <v>50</v>
      </c>
      <c r="C725" s="98">
        <v>2110720020</v>
      </c>
      <c r="D725" s="98"/>
      <c r="E725" s="99" t="s">
        <v>284</v>
      </c>
      <c r="F725" s="21">
        <f>F726</f>
        <v>3003.1</v>
      </c>
      <c r="G725" s="21">
        <f t="shared" si="206"/>
        <v>2850.9</v>
      </c>
    </row>
    <row r="726" spans="1:7" ht="31.5">
      <c r="A726" s="98" t="s">
        <v>9</v>
      </c>
      <c r="B726" s="98" t="s">
        <v>50</v>
      </c>
      <c r="C726" s="98">
        <v>2110720020</v>
      </c>
      <c r="D726" s="100" t="s">
        <v>92</v>
      </c>
      <c r="E726" s="177" t="s">
        <v>93</v>
      </c>
      <c r="F726" s="21">
        <f>F727</f>
        <v>3003.1</v>
      </c>
      <c r="G726" s="21">
        <f t="shared" si="206"/>
        <v>2850.9</v>
      </c>
    </row>
    <row r="727" spans="1:7">
      <c r="A727" s="98" t="s">
        <v>9</v>
      </c>
      <c r="B727" s="98" t="s">
        <v>50</v>
      </c>
      <c r="C727" s="98">
        <v>2110720020</v>
      </c>
      <c r="D727" s="98">
        <v>610</v>
      </c>
      <c r="E727" s="177" t="s">
        <v>99</v>
      </c>
      <c r="F727" s="21">
        <v>3003.1</v>
      </c>
      <c r="G727" s="21">
        <v>2850.9</v>
      </c>
    </row>
    <row r="728" spans="1:7" ht="63">
      <c r="A728" s="2" t="s">
        <v>9</v>
      </c>
      <c r="B728" s="194" t="s">
        <v>50</v>
      </c>
      <c r="C728" s="194">
        <v>2110800000</v>
      </c>
      <c r="D728" s="194"/>
      <c r="E728" s="62" t="s">
        <v>390</v>
      </c>
      <c r="F728" s="21">
        <f>F729</f>
        <v>3289.2000000000003</v>
      </c>
      <c r="G728" s="21">
        <f t="shared" ref="G728" si="207">G729</f>
        <v>3289.2</v>
      </c>
    </row>
    <row r="729" spans="1:7" ht="31.5">
      <c r="A729" s="2" t="s">
        <v>9</v>
      </c>
      <c r="B729" s="194" t="s">
        <v>50</v>
      </c>
      <c r="C729" s="194">
        <v>2110820030</v>
      </c>
      <c r="D729" s="194"/>
      <c r="E729" s="200" t="s">
        <v>389</v>
      </c>
      <c r="F729" s="21">
        <f>F730</f>
        <v>3289.2000000000003</v>
      </c>
      <c r="G729" s="21">
        <f t="shared" ref="G729:G730" si="208">G730</f>
        <v>3289.2</v>
      </c>
    </row>
    <row r="730" spans="1:7" ht="31.5">
      <c r="A730" s="2" t="s">
        <v>9</v>
      </c>
      <c r="B730" s="194" t="s">
        <v>50</v>
      </c>
      <c r="C730" s="194">
        <v>2110820030</v>
      </c>
      <c r="D730" s="193" t="s">
        <v>92</v>
      </c>
      <c r="E730" s="200" t="s">
        <v>93</v>
      </c>
      <c r="F730" s="21">
        <f>F731</f>
        <v>3289.2000000000003</v>
      </c>
      <c r="G730" s="21">
        <f t="shared" si="208"/>
        <v>3289.2</v>
      </c>
    </row>
    <row r="731" spans="1:7">
      <c r="A731" s="2" t="s">
        <v>9</v>
      </c>
      <c r="B731" s="194" t="s">
        <v>50</v>
      </c>
      <c r="C731" s="194">
        <v>2110820030</v>
      </c>
      <c r="D731" s="194">
        <v>610</v>
      </c>
      <c r="E731" s="195" t="s">
        <v>99</v>
      </c>
      <c r="F731" s="21">
        <f>3139.3+149.9</f>
        <v>3289.2000000000003</v>
      </c>
      <c r="G731" s="21">
        <v>3289.2</v>
      </c>
    </row>
    <row r="732" spans="1:7" ht="31.5">
      <c r="A732" s="2" t="s">
        <v>9</v>
      </c>
      <c r="B732" s="176" t="s">
        <v>50</v>
      </c>
      <c r="C732" s="176">
        <v>2110900000</v>
      </c>
      <c r="D732" s="176"/>
      <c r="E732" s="131" t="s">
        <v>372</v>
      </c>
      <c r="F732" s="21">
        <f>F733</f>
        <v>509.8</v>
      </c>
      <c r="G732" s="21">
        <f t="shared" ref="G732:G734" si="209">G733</f>
        <v>509.8</v>
      </c>
    </row>
    <row r="733" spans="1:7" ht="47.25">
      <c r="A733" s="2" t="s">
        <v>9</v>
      </c>
      <c r="B733" s="176" t="s">
        <v>50</v>
      </c>
      <c r="C733" s="176">
        <v>2110918020</v>
      </c>
      <c r="D733" s="176"/>
      <c r="E733" s="114" t="s">
        <v>373</v>
      </c>
      <c r="F733" s="21">
        <f>F734</f>
        <v>509.8</v>
      </c>
      <c r="G733" s="21">
        <f t="shared" si="209"/>
        <v>509.8</v>
      </c>
    </row>
    <row r="734" spans="1:7" ht="31.5">
      <c r="A734" s="2" t="s">
        <v>9</v>
      </c>
      <c r="B734" s="176" t="s">
        <v>50</v>
      </c>
      <c r="C734" s="176">
        <v>2110918020</v>
      </c>
      <c r="D734" s="175" t="s">
        <v>92</v>
      </c>
      <c r="E734" s="177" t="s">
        <v>93</v>
      </c>
      <c r="F734" s="21">
        <f>F735</f>
        <v>509.8</v>
      </c>
      <c r="G734" s="21">
        <f t="shared" si="209"/>
        <v>509.8</v>
      </c>
    </row>
    <row r="735" spans="1:7">
      <c r="A735" s="2" t="s">
        <v>9</v>
      </c>
      <c r="B735" s="176" t="s">
        <v>50</v>
      </c>
      <c r="C735" s="176">
        <v>2110918020</v>
      </c>
      <c r="D735" s="176">
        <v>610</v>
      </c>
      <c r="E735" s="177" t="s">
        <v>99</v>
      </c>
      <c r="F735" s="21">
        <v>509.8</v>
      </c>
      <c r="G735" s="21">
        <v>509.8</v>
      </c>
    </row>
    <row r="736" spans="1:7" ht="47.25">
      <c r="A736" s="2" t="s">
        <v>9</v>
      </c>
      <c r="B736" s="194" t="s">
        <v>50</v>
      </c>
      <c r="C736" s="194" t="s">
        <v>387</v>
      </c>
      <c r="D736" s="194"/>
      <c r="E736" s="131" t="s">
        <v>476</v>
      </c>
      <c r="F736" s="21">
        <f>F737</f>
        <v>776.8</v>
      </c>
      <c r="G736" s="21">
        <f t="shared" ref="G736:G738" si="210">G737</f>
        <v>776.8</v>
      </c>
    </row>
    <row r="737" spans="1:7" ht="63">
      <c r="A737" s="2" t="s">
        <v>9</v>
      </c>
      <c r="B737" s="194" t="s">
        <v>50</v>
      </c>
      <c r="C737" s="199" t="s">
        <v>386</v>
      </c>
      <c r="D737" s="194"/>
      <c r="E737" s="115" t="s">
        <v>388</v>
      </c>
      <c r="F737" s="21">
        <f>F738</f>
        <v>776.8</v>
      </c>
      <c r="G737" s="21">
        <f t="shared" si="210"/>
        <v>776.8</v>
      </c>
    </row>
    <row r="738" spans="1:7" ht="31.5">
      <c r="A738" s="2" t="s">
        <v>9</v>
      </c>
      <c r="B738" s="194" t="s">
        <v>50</v>
      </c>
      <c r="C738" s="199" t="s">
        <v>386</v>
      </c>
      <c r="D738" s="193" t="s">
        <v>92</v>
      </c>
      <c r="E738" s="195" t="s">
        <v>93</v>
      </c>
      <c r="F738" s="21">
        <f>F739</f>
        <v>776.8</v>
      </c>
      <c r="G738" s="21">
        <f t="shared" si="210"/>
        <v>776.8</v>
      </c>
    </row>
    <row r="739" spans="1:7">
      <c r="A739" s="2" t="s">
        <v>9</v>
      </c>
      <c r="B739" s="194" t="s">
        <v>50</v>
      </c>
      <c r="C739" s="199" t="s">
        <v>386</v>
      </c>
      <c r="D739" s="194">
        <v>610</v>
      </c>
      <c r="E739" s="195" t="s">
        <v>99</v>
      </c>
      <c r="F739" s="21">
        <v>776.8</v>
      </c>
      <c r="G739" s="21">
        <v>776.8</v>
      </c>
    </row>
    <row r="740" spans="1:7">
      <c r="A740" s="122" t="s">
        <v>9</v>
      </c>
      <c r="B740" s="122" t="s">
        <v>50</v>
      </c>
      <c r="C740" s="122">
        <v>2120000000</v>
      </c>
      <c r="D740" s="122"/>
      <c r="E740" s="124" t="s">
        <v>116</v>
      </c>
      <c r="F740" s="21">
        <f>F741</f>
        <v>5399.5999999999995</v>
      </c>
      <c r="G740" s="21">
        <f t="shared" ref="G740:G743" si="211">G741</f>
        <v>5399.5999999999995</v>
      </c>
    </row>
    <row r="741" spans="1:7" ht="47.25">
      <c r="A741" s="122" t="s">
        <v>9</v>
      </c>
      <c r="B741" s="122" t="s">
        <v>50</v>
      </c>
      <c r="C741" s="122">
        <v>2120100000</v>
      </c>
      <c r="D741" s="122"/>
      <c r="E741" s="124" t="s">
        <v>117</v>
      </c>
      <c r="F741" s="21">
        <f>F742+F745+F748</f>
        <v>5399.5999999999995</v>
      </c>
      <c r="G741" s="21">
        <f t="shared" ref="G741" si="212">G742+G745+G748</f>
        <v>5399.5999999999995</v>
      </c>
    </row>
    <row r="742" spans="1:7" ht="31.5">
      <c r="A742" s="122" t="s">
        <v>9</v>
      </c>
      <c r="B742" s="122" t="s">
        <v>50</v>
      </c>
      <c r="C742" s="122">
        <v>2120120010</v>
      </c>
      <c r="D742" s="122"/>
      <c r="E742" s="124" t="s">
        <v>118</v>
      </c>
      <c r="F742" s="21">
        <f>F743</f>
        <v>5354.7</v>
      </c>
      <c r="G742" s="21">
        <f t="shared" si="211"/>
        <v>5354.7</v>
      </c>
    </row>
    <row r="743" spans="1:7" ht="31.5">
      <c r="A743" s="122" t="s">
        <v>9</v>
      </c>
      <c r="B743" s="122" t="s">
        <v>50</v>
      </c>
      <c r="C743" s="122">
        <v>2120120010</v>
      </c>
      <c r="D743" s="122" t="s">
        <v>92</v>
      </c>
      <c r="E743" s="124" t="s">
        <v>93</v>
      </c>
      <c r="F743" s="21">
        <f>F744</f>
        <v>5354.7</v>
      </c>
      <c r="G743" s="21">
        <f t="shared" si="211"/>
        <v>5354.7</v>
      </c>
    </row>
    <row r="744" spans="1:7">
      <c r="A744" s="122" t="s">
        <v>9</v>
      </c>
      <c r="B744" s="122" t="s">
        <v>50</v>
      </c>
      <c r="C744" s="122">
        <v>2120120010</v>
      </c>
      <c r="D744" s="122">
        <v>610</v>
      </c>
      <c r="E744" s="124" t="s">
        <v>99</v>
      </c>
      <c r="F744" s="21">
        <f>5087.7+201+66.4-0.4</f>
        <v>5354.7</v>
      </c>
      <c r="G744" s="21">
        <v>5354.7</v>
      </c>
    </row>
    <row r="745" spans="1:7" ht="47.25">
      <c r="A745" s="212" t="s">
        <v>9</v>
      </c>
      <c r="B745" s="212" t="s">
        <v>50</v>
      </c>
      <c r="C745" s="10" t="s">
        <v>404</v>
      </c>
      <c r="D745" s="10"/>
      <c r="E745" s="42" t="s">
        <v>401</v>
      </c>
      <c r="F745" s="21">
        <f>F746</f>
        <v>44.5</v>
      </c>
      <c r="G745" s="21">
        <f t="shared" ref="G745:G746" si="213">G746</f>
        <v>44.5</v>
      </c>
    </row>
    <row r="746" spans="1:7" ht="31.5">
      <c r="A746" s="212" t="s">
        <v>9</v>
      </c>
      <c r="B746" s="212" t="s">
        <v>50</v>
      </c>
      <c r="C746" s="10" t="s">
        <v>404</v>
      </c>
      <c r="D746" s="211" t="s">
        <v>92</v>
      </c>
      <c r="E746" s="213" t="s">
        <v>93</v>
      </c>
      <c r="F746" s="21">
        <f>F747</f>
        <v>44.5</v>
      </c>
      <c r="G746" s="21">
        <f t="shared" si="213"/>
        <v>44.5</v>
      </c>
    </row>
    <row r="747" spans="1:7">
      <c r="A747" s="212" t="s">
        <v>9</v>
      </c>
      <c r="B747" s="212" t="s">
        <v>50</v>
      </c>
      <c r="C747" s="10" t="s">
        <v>404</v>
      </c>
      <c r="D747" s="212">
        <v>610</v>
      </c>
      <c r="E747" s="213" t="s">
        <v>99</v>
      </c>
      <c r="F747" s="21">
        <v>44.5</v>
      </c>
      <c r="G747" s="21">
        <v>44.5</v>
      </c>
    </row>
    <row r="748" spans="1:7" ht="47.25">
      <c r="A748" s="212" t="s">
        <v>9</v>
      </c>
      <c r="B748" s="212" t="s">
        <v>50</v>
      </c>
      <c r="C748" s="10" t="s">
        <v>405</v>
      </c>
      <c r="D748" s="11"/>
      <c r="E748" s="213" t="s">
        <v>403</v>
      </c>
      <c r="F748" s="21">
        <f>F749</f>
        <v>0.4</v>
      </c>
      <c r="G748" s="21">
        <f t="shared" ref="G748:G749" si="214">G749</f>
        <v>0.4</v>
      </c>
    </row>
    <row r="749" spans="1:7" ht="31.5">
      <c r="A749" s="212" t="s">
        <v>9</v>
      </c>
      <c r="B749" s="212" t="s">
        <v>50</v>
      </c>
      <c r="C749" s="10" t="s">
        <v>405</v>
      </c>
      <c r="D749" s="211" t="s">
        <v>92</v>
      </c>
      <c r="E749" s="213" t="s">
        <v>93</v>
      </c>
      <c r="F749" s="21">
        <f>F750</f>
        <v>0.4</v>
      </c>
      <c r="G749" s="21">
        <f t="shared" si="214"/>
        <v>0.4</v>
      </c>
    </row>
    <row r="750" spans="1:7">
      <c r="A750" s="212" t="s">
        <v>9</v>
      </c>
      <c r="B750" s="212" t="s">
        <v>50</v>
      </c>
      <c r="C750" s="10" t="s">
        <v>405</v>
      </c>
      <c r="D750" s="212">
        <v>610</v>
      </c>
      <c r="E750" s="213" t="s">
        <v>99</v>
      </c>
      <c r="F750" s="21">
        <v>0.4</v>
      </c>
      <c r="G750" s="21">
        <v>0.4</v>
      </c>
    </row>
    <row r="751" spans="1:7" ht="31.5">
      <c r="A751" s="98" t="s">
        <v>9</v>
      </c>
      <c r="B751" s="98" t="s">
        <v>50</v>
      </c>
      <c r="C751" s="98">
        <v>2130000000</v>
      </c>
      <c r="D751" s="98"/>
      <c r="E751" s="99" t="s">
        <v>109</v>
      </c>
      <c r="F751" s="21">
        <f>F752+F759</f>
        <v>234.4</v>
      </c>
      <c r="G751" s="21">
        <f t="shared" ref="G751" si="215">G752+G759</f>
        <v>202.4</v>
      </c>
    </row>
    <row r="752" spans="1:7" ht="31.5">
      <c r="A752" s="98" t="s">
        <v>9</v>
      </c>
      <c r="B752" s="98" t="s">
        <v>50</v>
      </c>
      <c r="C752" s="98">
        <v>2130100000</v>
      </c>
      <c r="D752" s="98"/>
      <c r="E752" s="99" t="s">
        <v>202</v>
      </c>
      <c r="F752" s="21">
        <f>F753+F756</f>
        <v>160</v>
      </c>
      <c r="G752" s="21">
        <f t="shared" ref="G752" si="216">G753+G756</f>
        <v>128</v>
      </c>
    </row>
    <row r="753" spans="1:7" ht="31.5">
      <c r="A753" s="98" t="s">
        <v>9</v>
      </c>
      <c r="B753" s="98" t="s">
        <v>50</v>
      </c>
      <c r="C753" s="100">
        <v>2130111080</v>
      </c>
      <c r="D753" s="98"/>
      <c r="E753" s="99" t="s">
        <v>235</v>
      </c>
      <c r="F753" s="21">
        <f t="shared" ref="F753:G754" si="217">F754</f>
        <v>130.4</v>
      </c>
      <c r="G753" s="21">
        <f t="shared" si="217"/>
        <v>104.3</v>
      </c>
    </row>
    <row r="754" spans="1:7" ht="31.5">
      <c r="A754" s="98" t="s">
        <v>9</v>
      </c>
      <c r="B754" s="98" t="s">
        <v>50</v>
      </c>
      <c r="C754" s="100">
        <v>2130111080</v>
      </c>
      <c r="D754" s="100" t="s">
        <v>92</v>
      </c>
      <c r="E754" s="99" t="s">
        <v>93</v>
      </c>
      <c r="F754" s="21">
        <f t="shared" si="217"/>
        <v>130.4</v>
      </c>
      <c r="G754" s="21">
        <f t="shared" si="217"/>
        <v>104.3</v>
      </c>
    </row>
    <row r="755" spans="1:7">
      <c r="A755" s="98" t="s">
        <v>9</v>
      </c>
      <c r="B755" s="98" t="s">
        <v>50</v>
      </c>
      <c r="C755" s="100">
        <v>2130111080</v>
      </c>
      <c r="D755" s="98">
        <v>610</v>
      </c>
      <c r="E755" s="99" t="s">
        <v>99</v>
      </c>
      <c r="F755" s="21">
        <f>123.9+6.5</f>
        <v>130.4</v>
      </c>
      <c r="G755" s="21">
        <v>104.3</v>
      </c>
    </row>
    <row r="756" spans="1:7" ht="31.5">
      <c r="A756" s="98" t="s">
        <v>9</v>
      </c>
      <c r="B756" s="98" t="s">
        <v>50</v>
      </c>
      <c r="C756" s="100" t="s">
        <v>309</v>
      </c>
      <c r="D756" s="98"/>
      <c r="E756" s="99" t="s">
        <v>221</v>
      </c>
      <c r="F756" s="21">
        <f t="shared" ref="F756:G757" si="218">F757</f>
        <v>29.6</v>
      </c>
      <c r="G756" s="21">
        <f t="shared" si="218"/>
        <v>23.7</v>
      </c>
    </row>
    <row r="757" spans="1:7" ht="31.5">
      <c r="A757" s="98" t="s">
        <v>9</v>
      </c>
      <c r="B757" s="98" t="s">
        <v>50</v>
      </c>
      <c r="C757" s="100" t="s">
        <v>309</v>
      </c>
      <c r="D757" s="100" t="s">
        <v>92</v>
      </c>
      <c r="E757" s="99" t="s">
        <v>93</v>
      </c>
      <c r="F757" s="21">
        <f t="shared" si="218"/>
        <v>29.6</v>
      </c>
      <c r="G757" s="21">
        <f t="shared" si="218"/>
        <v>23.7</v>
      </c>
    </row>
    <row r="758" spans="1:7">
      <c r="A758" s="98" t="s">
        <v>9</v>
      </c>
      <c r="B758" s="98" t="s">
        <v>50</v>
      </c>
      <c r="C758" s="100" t="s">
        <v>309</v>
      </c>
      <c r="D758" s="98">
        <v>610</v>
      </c>
      <c r="E758" s="99" t="s">
        <v>99</v>
      </c>
      <c r="F758" s="21">
        <f>67.5-37.9</f>
        <v>29.6</v>
      </c>
      <c r="G758" s="21">
        <v>23.7</v>
      </c>
    </row>
    <row r="759" spans="1:7" ht="47.25">
      <c r="A759" s="202" t="s">
        <v>9</v>
      </c>
      <c r="B759" s="205" t="s">
        <v>50</v>
      </c>
      <c r="C759" s="201">
        <v>2130300000</v>
      </c>
      <c r="D759" s="24"/>
      <c r="E759" s="203" t="s">
        <v>110</v>
      </c>
      <c r="F759" s="21">
        <f t="shared" ref="F759:G761" si="219">F760</f>
        <v>74.400000000000006</v>
      </c>
      <c r="G759" s="21">
        <f t="shared" si="219"/>
        <v>74.400000000000006</v>
      </c>
    </row>
    <row r="760" spans="1:7" ht="31.5">
      <c r="A760" s="202" t="s">
        <v>9</v>
      </c>
      <c r="B760" s="205" t="s">
        <v>50</v>
      </c>
      <c r="C760" s="201">
        <v>2130320280</v>
      </c>
      <c r="D760" s="24"/>
      <c r="E760" s="203" t="s">
        <v>111</v>
      </c>
      <c r="F760" s="21">
        <f t="shared" si="219"/>
        <v>74.400000000000006</v>
      </c>
      <c r="G760" s="21">
        <f t="shared" si="219"/>
        <v>74.400000000000006</v>
      </c>
    </row>
    <row r="761" spans="1:7" ht="31.5">
      <c r="A761" s="202" t="s">
        <v>9</v>
      </c>
      <c r="B761" s="205" t="s">
        <v>50</v>
      </c>
      <c r="C761" s="201">
        <v>2130320280</v>
      </c>
      <c r="D761" s="201" t="s">
        <v>92</v>
      </c>
      <c r="E761" s="203" t="s">
        <v>93</v>
      </c>
      <c r="F761" s="21">
        <f t="shared" si="219"/>
        <v>74.400000000000006</v>
      </c>
      <c r="G761" s="21">
        <f t="shared" si="219"/>
        <v>74.400000000000006</v>
      </c>
    </row>
    <row r="762" spans="1:7">
      <c r="A762" s="202" t="s">
        <v>9</v>
      </c>
      <c r="B762" s="205" t="s">
        <v>50</v>
      </c>
      <c r="C762" s="201">
        <v>2130320280</v>
      </c>
      <c r="D762" s="202">
        <v>610</v>
      </c>
      <c r="E762" s="203" t="s">
        <v>99</v>
      </c>
      <c r="F762" s="21">
        <v>74.400000000000006</v>
      </c>
      <c r="G762" s="21">
        <v>74.400000000000006</v>
      </c>
    </row>
    <row r="763" spans="1:7" ht="31.5">
      <c r="A763" s="2" t="s">
        <v>9</v>
      </c>
      <c r="B763" s="98" t="s">
        <v>50</v>
      </c>
      <c r="C763" s="100">
        <v>2500000000</v>
      </c>
      <c r="D763" s="98"/>
      <c r="E763" s="56" t="s">
        <v>312</v>
      </c>
      <c r="F763" s="21">
        <f>F764</f>
        <v>5345.8000000000011</v>
      </c>
      <c r="G763" s="21">
        <f t="shared" ref="G763" si="220">G764</f>
        <v>4670.1000000000004</v>
      </c>
    </row>
    <row r="764" spans="1:7" ht="31.5">
      <c r="A764" s="2" t="s">
        <v>9</v>
      </c>
      <c r="B764" s="98" t="s">
        <v>50</v>
      </c>
      <c r="C764" s="100">
        <v>2520000000</v>
      </c>
      <c r="D764" s="98"/>
      <c r="E764" s="56" t="s">
        <v>227</v>
      </c>
      <c r="F764" s="21">
        <f>F773+F777+F781+F769+F765</f>
        <v>5345.8000000000011</v>
      </c>
      <c r="G764" s="21">
        <f>G773+G777+G781+G769+G765</f>
        <v>4670.1000000000004</v>
      </c>
    </row>
    <row r="765" spans="1:7" ht="63">
      <c r="A765" s="185" t="s">
        <v>9</v>
      </c>
      <c r="B765" s="185" t="s">
        <v>50</v>
      </c>
      <c r="C765" s="185">
        <v>2520100000</v>
      </c>
      <c r="D765" s="185"/>
      <c r="E765" s="56" t="s">
        <v>366</v>
      </c>
      <c r="F765" s="21">
        <f>F766</f>
        <v>385.6</v>
      </c>
      <c r="G765" s="21">
        <f t="shared" ref="G765:G767" si="221">G766</f>
        <v>385.6</v>
      </c>
    </row>
    <row r="766" spans="1:7" ht="31.5">
      <c r="A766" s="185" t="s">
        <v>9</v>
      </c>
      <c r="B766" s="185" t="s">
        <v>50</v>
      </c>
      <c r="C766" s="10" t="s">
        <v>367</v>
      </c>
      <c r="D766" s="185"/>
      <c r="E766" s="56" t="s">
        <v>368</v>
      </c>
      <c r="F766" s="21">
        <f>F767</f>
        <v>385.6</v>
      </c>
      <c r="G766" s="21">
        <f t="shared" si="221"/>
        <v>385.6</v>
      </c>
    </row>
    <row r="767" spans="1:7" ht="31.5">
      <c r="A767" s="2" t="s">
        <v>9</v>
      </c>
      <c r="B767" s="185" t="s">
        <v>50</v>
      </c>
      <c r="C767" s="10" t="s">
        <v>367</v>
      </c>
      <c r="D767" s="184" t="s">
        <v>92</v>
      </c>
      <c r="E767" s="56" t="s">
        <v>93</v>
      </c>
      <c r="F767" s="21">
        <f>F768</f>
        <v>385.6</v>
      </c>
      <c r="G767" s="21">
        <f t="shared" si="221"/>
        <v>385.6</v>
      </c>
    </row>
    <row r="768" spans="1:7">
      <c r="A768" s="2" t="s">
        <v>9</v>
      </c>
      <c r="B768" s="185" t="s">
        <v>50</v>
      </c>
      <c r="C768" s="10" t="s">
        <v>367</v>
      </c>
      <c r="D768" s="185">
        <v>610</v>
      </c>
      <c r="E768" s="56" t="s">
        <v>99</v>
      </c>
      <c r="F768" s="21">
        <f>161.9+153.7+70</f>
        <v>385.6</v>
      </c>
      <c r="G768" s="21">
        <v>385.6</v>
      </c>
    </row>
    <row r="769" spans="1:7" ht="47.25">
      <c r="A769" s="167" t="s">
        <v>9</v>
      </c>
      <c r="B769" s="167" t="s">
        <v>50</v>
      </c>
      <c r="C769" s="166">
        <v>2520200000</v>
      </c>
      <c r="D769" s="167"/>
      <c r="E769" s="168" t="s">
        <v>287</v>
      </c>
      <c r="F769" s="21">
        <f>F770</f>
        <v>437</v>
      </c>
      <c r="G769" s="21">
        <f t="shared" ref="G769:G771" si="222">G770</f>
        <v>437</v>
      </c>
    </row>
    <row r="770" spans="1:7">
      <c r="A770" s="167" t="s">
        <v>9</v>
      </c>
      <c r="B770" s="167" t="s">
        <v>50</v>
      </c>
      <c r="C770" s="166">
        <v>2520220190</v>
      </c>
      <c r="D770" s="166"/>
      <c r="E770" s="168" t="s">
        <v>324</v>
      </c>
      <c r="F770" s="21">
        <f>F771</f>
        <v>437</v>
      </c>
      <c r="G770" s="21">
        <f t="shared" si="222"/>
        <v>437</v>
      </c>
    </row>
    <row r="771" spans="1:7" ht="31.5">
      <c r="A771" s="2" t="s">
        <v>9</v>
      </c>
      <c r="B771" s="167" t="s">
        <v>50</v>
      </c>
      <c r="C771" s="166">
        <v>2520220190</v>
      </c>
      <c r="D771" s="166" t="s">
        <v>92</v>
      </c>
      <c r="E771" s="168" t="s">
        <v>93</v>
      </c>
      <c r="F771" s="21">
        <f>F772</f>
        <v>437</v>
      </c>
      <c r="G771" s="21">
        <f t="shared" si="222"/>
        <v>437</v>
      </c>
    </row>
    <row r="772" spans="1:7">
      <c r="A772" s="2" t="s">
        <v>9</v>
      </c>
      <c r="B772" s="167" t="s">
        <v>50</v>
      </c>
      <c r="C772" s="166">
        <v>2520220190</v>
      </c>
      <c r="D772" s="166">
        <v>610</v>
      </c>
      <c r="E772" s="168" t="s">
        <v>99</v>
      </c>
      <c r="F772" s="21">
        <v>437</v>
      </c>
      <c r="G772" s="21">
        <v>437</v>
      </c>
    </row>
    <row r="773" spans="1:7" ht="31.5">
      <c r="A773" s="123" t="s">
        <v>9</v>
      </c>
      <c r="B773" s="123" t="s">
        <v>50</v>
      </c>
      <c r="C773" s="122">
        <v>2520400000</v>
      </c>
      <c r="D773" s="123"/>
      <c r="E773" s="56" t="s">
        <v>330</v>
      </c>
      <c r="F773" s="21">
        <f>F774</f>
        <v>1580.5</v>
      </c>
      <c r="G773" s="21">
        <f t="shared" ref="G773:G775" si="223">G774</f>
        <v>1233</v>
      </c>
    </row>
    <row r="774" spans="1:7">
      <c r="A774" s="123" t="s">
        <v>9</v>
      </c>
      <c r="B774" s="123" t="s">
        <v>50</v>
      </c>
      <c r="C774" s="122">
        <v>2520420300</v>
      </c>
      <c r="D774" s="123"/>
      <c r="E774" s="56" t="s">
        <v>331</v>
      </c>
      <c r="F774" s="21">
        <f>F775</f>
        <v>1580.5</v>
      </c>
      <c r="G774" s="21">
        <f t="shared" si="223"/>
        <v>1233</v>
      </c>
    </row>
    <row r="775" spans="1:7" ht="31.5">
      <c r="A775" s="2" t="s">
        <v>9</v>
      </c>
      <c r="B775" s="123" t="s">
        <v>50</v>
      </c>
      <c r="C775" s="122">
        <v>2520420300</v>
      </c>
      <c r="D775" s="122" t="s">
        <v>92</v>
      </c>
      <c r="E775" s="56" t="s">
        <v>93</v>
      </c>
      <c r="F775" s="21">
        <f>F776</f>
        <v>1580.5</v>
      </c>
      <c r="G775" s="21">
        <f t="shared" si="223"/>
        <v>1233</v>
      </c>
    </row>
    <row r="776" spans="1:7">
      <c r="A776" s="2" t="s">
        <v>9</v>
      </c>
      <c r="B776" s="123" t="s">
        <v>50</v>
      </c>
      <c r="C776" s="122">
        <v>2520420300</v>
      </c>
      <c r="D776" s="123">
        <v>610</v>
      </c>
      <c r="E776" s="56" t="s">
        <v>99</v>
      </c>
      <c r="F776" s="21">
        <f>1386.7+193.8</f>
        <v>1580.5</v>
      </c>
      <c r="G776" s="21">
        <v>1233</v>
      </c>
    </row>
    <row r="777" spans="1:7" ht="31.5">
      <c r="A777" s="151" t="s">
        <v>9</v>
      </c>
      <c r="B777" s="151" t="s">
        <v>50</v>
      </c>
      <c r="C777" s="150">
        <v>2520500000</v>
      </c>
      <c r="D777" s="151"/>
      <c r="E777" s="152" t="s">
        <v>341</v>
      </c>
      <c r="F777" s="21">
        <f>F778</f>
        <v>1444.8</v>
      </c>
      <c r="G777" s="21">
        <f t="shared" ref="G777:G779" si="224">G778</f>
        <v>1227.2</v>
      </c>
    </row>
    <row r="778" spans="1:7">
      <c r="A778" s="2" t="s">
        <v>9</v>
      </c>
      <c r="B778" s="151" t="s">
        <v>50</v>
      </c>
      <c r="C778" s="150">
        <v>2520520300</v>
      </c>
      <c r="D778" s="151"/>
      <c r="E778" s="152" t="s">
        <v>342</v>
      </c>
      <c r="F778" s="21">
        <f>F779</f>
        <v>1444.8</v>
      </c>
      <c r="G778" s="21">
        <f t="shared" si="224"/>
        <v>1227.2</v>
      </c>
    </row>
    <row r="779" spans="1:7" ht="31.5">
      <c r="A779" s="2" t="s">
        <v>9</v>
      </c>
      <c r="B779" s="151" t="s">
        <v>50</v>
      </c>
      <c r="C779" s="150">
        <v>2520520300</v>
      </c>
      <c r="D779" s="150" t="s">
        <v>92</v>
      </c>
      <c r="E779" s="56" t="s">
        <v>93</v>
      </c>
      <c r="F779" s="21">
        <f>F780</f>
        <v>1444.8</v>
      </c>
      <c r="G779" s="21">
        <f t="shared" si="224"/>
        <v>1227.2</v>
      </c>
    </row>
    <row r="780" spans="1:7">
      <c r="A780" s="151" t="s">
        <v>9</v>
      </c>
      <c r="B780" s="151" t="s">
        <v>50</v>
      </c>
      <c r="C780" s="150">
        <v>2520520300</v>
      </c>
      <c r="D780" s="151">
        <v>610</v>
      </c>
      <c r="E780" s="56" t="s">
        <v>99</v>
      </c>
      <c r="F780" s="21">
        <f>1522.6-77.8</f>
        <v>1444.8</v>
      </c>
      <c r="G780" s="21">
        <v>1227.2</v>
      </c>
    </row>
    <row r="781" spans="1:7" ht="31.5">
      <c r="A781" s="151" t="s">
        <v>9</v>
      </c>
      <c r="B781" s="151" t="s">
        <v>50</v>
      </c>
      <c r="C781" s="150">
        <v>2520600000</v>
      </c>
      <c r="D781" s="151"/>
      <c r="E781" s="152" t="s">
        <v>340</v>
      </c>
      <c r="F781" s="21">
        <f>F782</f>
        <v>1497.9</v>
      </c>
      <c r="G781" s="21">
        <f t="shared" ref="G781:G783" si="225">G782</f>
        <v>1387.3</v>
      </c>
    </row>
    <row r="782" spans="1:7">
      <c r="A782" s="2" t="s">
        <v>9</v>
      </c>
      <c r="B782" s="151" t="s">
        <v>50</v>
      </c>
      <c r="C782" s="150">
        <v>2520620200</v>
      </c>
      <c r="D782" s="151"/>
      <c r="E782" s="152" t="s">
        <v>275</v>
      </c>
      <c r="F782" s="21">
        <f>F783</f>
        <v>1497.9</v>
      </c>
      <c r="G782" s="21">
        <f t="shared" si="225"/>
        <v>1387.3</v>
      </c>
    </row>
    <row r="783" spans="1:7" ht="31.5">
      <c r="A783" s="2" t="s">
        <v>9</v>
      </c>
      <c r="B783" s="151" t="s">
        <v>50</v>
      </c>
      <c r="C783" s="150">
        <v>2520620200</v>
      </c>
      <c r="D783" s="150" t="s">
        <v>92</v>
      </c>
      <c r="E783" s="56" t="s">
        <v>93</v>
      </c>
      <c r="F783" s="21">
        <f>F784</f>
        <v>1497.9</v>
      </c>
      <c r="G783" s="21">
        <f t="shared" si="225"/>
        <v>1387.3</v>
      </c>
    </row>
    <row r="784" spans="1:7">
      <c r="A784" s="2" t="s">
        <v>9</v>
      </c>
      <c r="B784" s="151" t="s">
        <v>50</v>
      </c>
      <c r="C784" s="150">
        <v>2520620200</v>
      </c>
      <c r="D784" s="151">
        <v>610</v>
      </c>
      <c r="E784" s="56" t="s">
        <v>99</v>
      </c>
      <c r="F784" s="21">
        <v>1497.9</v>
      </c>
      <c r="G784" s="21">
        <v>1387.3</v>
      </c>
    </row>
    <row r="785" spans="1:7">
      <c r="A785" s="2" t="s">
        <v>9</v>
      </c>
      <c r="B785" s="185" t="s">
        <v>50</v>
      </c>
      <c r="C785" s="184">
        <v>9900000000</v>
      </c>
      <c r="D785" s="184"/>
      <c r="E785" s="56" t="s">
        <v>100</v>
      </c>
      <c r="F785" s="21">
        <f>F786</f>
        <v>200</v>
      </c>
      <c r="G785" s="21">
        <f t="shared" ref="G785:G788" si="226">G786</f>
        <v>200</v>
      </c>
    </row>
    <row r="786" spans="1:7" ht="47.25">
      <c r="A786" s="2" t="s">
        <v>9</v>
      </c>
      <c r="B786" s="185" t="s">
        <v>50</v>
      </c>
      <c r="C786" s="184">
        <v>9920000000</v>
      </c>
      <c r="D786" s="184"/>
      <c r="E786" s="56" t="s">
        <v>381</v>
      </c>
      <c r="F786" s="21">
        <f>F787</f>
        <v>200</v>
      </c>
      <c r="G786" s="21">
        <f t="shared" si="226"/>
        <v>200</v>
      </c>
    </row>
    <row r="787" spans="1:7" ht="47.25">
      <c r="A787" s="185" t="s">
        <v>9</v>
      </c>
      <c r="B787" s="185" t="s">
        <v>50</v>
      </c>
      <c r="C787" s="184">
        <v>9920010920</v>
      </c>
      <c r="D787" s="184"/>
      <c r="E787" s="56" t="s">
        <v>382</v>
      </c>
      <c r="F787" s="21">
        <f>F788</f>
        <v>200</v>
      </c>
      <c r="G787" s="21">
        <f t="shared" si="226"/>
        <v>200</v>
      </c>
    </row>
    <row r="788" spans="1:7" ht="31.5">
      <c r="A788" s="185" t="s">
        <v>9</v>
      </c>
      <c r="B788" s="185" t="s">
        <v>50</v>
      </c>
      <c r="C788" s="184">
        <v>9920010920</v>
      </c>
      <c r="D788" s="184" t="s">
        <v>92</v>
      </c>
      <c r="E788" s="56" t="s">
        <v>93</v>
      </c>
      <c r="F788" s="21">
        <f>F789</f>
        <v>200</v>
      </c>
      <c r="G788" s="21">
        <f t="shared" si="226"/>
        <v>200</v>
      </c>
    </row>
    <row r="789" spans="1:7">
      <c r="A789" s="2" t="s">
        <v>9</v>
      </c>
      <c r="B789" s="185" t="s">
        <v>50</v>
      </c>
      <c r="C789" s="184">
        <v>9920010920</v>
      </c>
      <c r="D789" s="184">
        <v>610</v>
      </c>
      <c r="E789" s="56" t="s">
        <v>99</v>
      </c>
      <c r="F789" s="21">
        <v>200</v>
      </c>
      <c r="G789" s="21">
        <v>200</v>
      </c>
    </row>
    <row r="790" spans="1:7">
      <c r="A790" s="98" t="s">
        <v>9</v>
      </c>
      <c r="B790" s="98" t="s">
        <v>86</v>
      </c>
      <c r="C790" s="98" t="s">
        <v>64</v>
      </c>
      <c r="D790" s="98" t="s">
        <v>64</v>
      </c>
      <c r="E790" s="99" t="s">
        <v>87</v>
      </c>
      <c r="F790" s="21">
        <f>F791+F812</f>
        <v>12453.3</v>
      </c>
      <c r="G790" s="21">
        <f>G791+G812</f>
        <v>12422.9</v>
      </c>
    </row>
    <row r="791" spans="1:7" ht="39" customHeight="1">
      <c r="A791" s="98" t="s">
        <v>9</v>
      </c>
      <c r="B791" s="98" t="s">
        <v>86</v>
      </c>
      <c r="C791" s="100">
        <v>2100000000</v>
      </c>
      <c r="D791" s="98"/>
      <c r="E791" s="99" t="s">
        <v>313</v>
      </c>
      <c r="F791" s="21">
        <f t="shared" ref="F791:G792" si="227">F792</f>
        <v>12350</v>
      </c>
      <c r="G791" s="21">
        <f t="shared" si="227"/>
        <v>12350</v>
      </c>
    </row>
    <row r="792" spans="1:7">
      <c r="A792" s="98" t="s">
        <v>9</v>
      </c>
      <c r="B792" s="98" t="s">
        <v>86</v>
      </c>
      <c r="C792" s="98">
        <v>2120000000</v>
      </c>
      <c r="D792" s="98"/>
      <c r="E792" s="99" t="s">
        <v>116</v>
      </c>
      <c r="F792" s="21">
        <f t="shared" si="227"/>
        <v>12350</v>
      </c>
      <c r="G792" s="21">
        <f t="shared" si="227"/>
        <v>12350</v>
      </c>
    </row>
    <row r="793" spans="1:7" ht="47.25">
      <c r="A793" s="2" t="s">
        <v>9</v>
      </c>
      <c r="B793" s="98" t="s">
        <v>86</v>
      </c>
      <c r="C793" s="98">
        <v>2120100000</v>
      </c>
      <c r="D793" s="98"/>
      <c r="E793" s="99" t="s">
        <v>117</v>
      </c>
      <c r="F793" s="21">
        <f>F800+F794+F806+F803+F797+F809</f>
        <v>12350</v>
      </c>
      <c r="G793" s="21">
        <f>G800+G794+G806+G803+G797+G809</f>
        <v>12350</v>
      </c>
    </row>
    <row r="794" spans="1:7" ht="47.25">
      <c r="A794" s="98" t="s">
        <v>9</v>
      </c>
      <c r="B794" s="98" t="s">
        <v>86</v>
      </c>
      <c r="C794" s="98">
        <v>2120110690</v>
      </c>
      <c r="D794" s="98"/>
      <c r="E794" s="56" t="s">
        <v>230</v>
      </c>
      <c r="F794" s="21">
        <f t="shared" ref="F794:G795" si="228">F795</f>
        <v>3725.7</v>
      </c>
      <c r="G794" s="21">
        <f t="shared" si="228"/>
        <v>3725.7</v>
      </c>
    </row>
    <row r="795" spans="1:7" ht="31.5">
      <c r="A795" s="98" t="s">
        <v>9</v>
      </c>
      <c r="B795" s="98" t="s">
        <v>86</v>
      </c>
      <c r="C795" s="98">
        <v>2120110690</v>
      </c>
      <c r="D795" s="100" t="s">
        <v>92</v>
      </c>
      <c r="E795" s="56" t="s">
        <v>93</v>
      </c>
      <c r="F795" s="21">
        <f t="shared" si="228"/>
        <v>3725.7</v>
      </c>
      <c r="G795" s="21">
        <f t="shared" si="228"/>
        <v>3725.7</v>
      </c>
    </row>
    <row r="796" spans="1:7">
      <c r="A796" s="2" t="s">
        <v>9</v>
      </c>
      <c r="B796" s="98" t="s">
        <v>86</v>
      </c>
      <c r="C796" s="98">
        <v>2120110690</v>
      </c>
      <c r="D796" s="98">
        <v>610</v>
      </c>
      <c r="E796" s="56" t="s">
        <v>99</v>
      </c>
      <c r="F796" s="21">
        <f>1996.6+946.3+782.8</f>
        <v>3725.7</v>
      </c>
      <c r="G796" s="21">
        <v>3725.7</v>
      </c>
    </row>
    <row r="797" spans="1:7" ht="47.25">
      <c r="A797" s="212" t="s">
        <v>9</v>
      </c>
      <c r="B797" s="212" t="s">
        <v>86</v>
      </c>
      <c r="C797" s="10" t="s">
        <v>404</v>
      </c>
      <c r="D797" s="10"/>
      <c r="E797" s="42" t="s">
        <v>401</v>
      </c>
      <c r="F797" s="21">
        <f>F798</f>
        <v>37.1</v>
      </c>
      <c r="G797" s="21">
        <f t="shared" ref="G797:G798" si="229">G798</f>
        <v>37.1</v>
      </c>
    </row>
    <row r="798" spans="1:7" ht="31.5">
      <c r="A798" s="212" t="s">
        <v>9</v>
      </c>
      <c r="B798" s="212" t="s">
        <v>86</v>
      </c>
      <c r="C798" s="10" t="s">
        <v>404</v>
      </c>
      <c r="D798" s="211" t="s">
        <v>92</v>
      </c>
      <c r="E798" s="213" t="s">
        <v>93</v>
      </c>
      <c r="F798" s="21">
        <f>F799</f>
        <v>37.1</v>
      </c>
      <c r="G798" s="21">
        <f t="shared" si="229"/>
        <v>37.1</v>
      </c>
    </row>
    <row r="799" spans="1:7">
      <c r="A799" s="2" t="s">
        <v>9</v>
      </c>
      <c r="B799" s="212" t="s">
        <v>86</v>
      </c>
      <c r="C799" s="10" t="s">
        <v>404</v>
      </c>
      <c r="D799" s="212">
        <v>610</v>
      </c>
      <c r="E799" s="213" t="s">
        <v>99</v>
      </c>
      <c r="F799" s="21">
        <v>37.1</v>
      </c>
      <c r="G799" s="21">
        <v>37.1</v>
      </c>
    </row>
    <row r="800" spans="1:7" ht="31.5">
      <c r="A800" s="2" t="s">
        <v>9</v>
      </c>
      <c r="B800" s="98" t="s">
        <v>86</v>
      </c>
      <c r="C800" s="98">
        <v>2120120010</v>
      </c>
      <c r="D800" s="98"/>
      <c r="E800" s="99" t="s">
        <v>118</v>
      </c>
      <c r="F800" s="21">
        <f t="shared" ref="F800:G801" si="230">F801</f>
        <v>6770.3000000000011</v>
      </c>
      <c r="G800" s="21">
        <f t="shared" si="230"/>
        <v>6770.3</v>
      </c>
    </row>
    <row r="801" spans="1:7" ht="31.5">
      <c r="A801" s="2" t="s">
        <v>9</v>
      </c>
      <c r="B801" s="98" t="s">
        <v>86</v>
      </c>
      <c r="C801" s="98">
        <v>2120120010</v>
      </c>
      <c r="D801" s="100" t="s">
        <v>92</v>
      </c>
      <c r="E801" s="99" t="s">
        <v>93</v>
      </c>
      <c r="F801" s="21">
        <f t="shared" si="230"/>
        <v>6770.3000000000011</v>
      </c>
      <c r="G801" s="21">
        <f t="shared" si="230"/>
        <v>6770.3</v>
      </c>
    </row>
    <row r="802" spans="1:7">
      <c r="A802" s="98" t="s">
        <v>9</v>
      </c>
      <c r="B802" s="98" t="s">
        <v>86</v>
      </c>
      <c r="C802" s="98">
        <v>2120120010</v>
      </c>
      <c r="D802" s="98">
        <v>610</v>
      </c>
      <c r="E802" s="99" t="s">
        <v>99</v>
      </c>
      <c r="F802" s="21">
        <f>8429.6-9.5+96.6+12.3-1148.5-657.4+27.1+28.5-8.4</f>
        <v>6770.3000000000011</v>
      </c>
      <c r="G802" s="21">
        <v>6770.3</v>
      </c>
    </row>
    <row r="803" spans="1:7" ht="31.5">
      <c r="A803" s="2" t="s">
        <v>9</v>
      </c>
      <c r="B803" s="167" t="s">
        <v>86</v>
      </c>
      <c r="C803" s="167">
        <v>2120120020</v>
      </c>
      <c r="D803" s="167"/>
      <c r="E803" s="168" t="s">
        <v>359</v>
      </c>
      <c r="F803" s="21">
        <f>F804</f>
        <v>1778.8000000000002</v>
      </c>
      <c r="G803" s="21">
        <f t="shared" ref="G803:G804" si="231">G804</f>
        <v>1778.8</v>
      </c>
    </row>
    <row r="804" spans="1:7" ht="31.5">
      <c r="A804" s="2" t="s">
        <v>9</v>
      </c>
      <c r="B804" s="167" t="s">
        <v>86</v>
      </c>
      <c r="C804" s="167">
        <v>2120120020</v>
      </c>
      <c r="D804" s="166" t="s">
        <v>92</v>
      </c>
      <c r="E804" s="168" t="s">
        <v>93</v>
      </c>
      <c r="F804" s="21">
        <f>F805</f>
        <v>1778.8000000000002</v>
      </c>
      <c r="G804" s="21">
        <f t="shared" si="231"/>
        <v>1778.8</v>
      </c>
    </row>
    <row r="805" spans="1:7">
      <c r="A805" s="167" t="s">
        <v>9</v>
      </c>
      <c r="B805" s="167" t="s">
        <v>86</v>
      </c>
      <c r="C805" s="167">
        <v>2120120020</v>
      </c>
      <c r="D805" s="167">
        <v>610</v>
      </c>
      <c r="E805" s="168" t="s">
        <v>99</v>
      </c>
      <c r="F805" s="21">
        <f>1121.4+657.4</f>
        <v>1778.8000000000002</v>
      </c>
      <c r="G805" s="21">
        <v>1778.8</v>
      </c>
    </row>
    <row r="806" spans="1:7" ht="47.25">
      <c r="A806" s="98" t="s">
        <v>9</v>
      </c>
      <c r="B806" s="98" t="s">
        <v>86</v>
      </c>
      <c r="C806" s="98" t="s">
        <v>298</v>
      </c>
      <c r="D806" s="98"/>
      <c r="E806" s="56" t="s">
        <v>239</v>
      </c>
      <c r="F806" s="21">
        <f t="shared" ref="F806:G807" si="232">F807</f>
        <v>37.700000000000003</v>
      </c>
      <c r="G806" s="21">
        <f t="shared" si="232"/>
        <v>37.700000000000003</v>
      </c>
    </row>
    <row r="807" spans="1:7" ht="31.5">
      <c r="A807" s="2" t="s">
        <v>9</v>
      </c>
      <c r="B807" s="98" t="s">
        <v>86</v>
      </c>
      <c r="C807" s="98" t="s">
        <v>298</v>
      </c>
      <c r="D807" s="100" t="s">
        <v>92</v>
      </c>
      <c r="E807" s="56" t="s">
        <v>93</v>
      </c>
      <c r="F807" s="21">
        <f t="shared" si="232"/>
        <v>37.700000000000003</v>
      </c>
      <c r="G807" s="21">
        <f t="shared" si="232"/>
        <v>37.700000000000003</v>
      </c>
    </row>
    <row r="808" spans="1:7">
      <c r="A808" s="2" t="s">
        <v>9</v>
      </c>
      <c r="B808" s="98" t="s">
        <v>86</v>
      </c>
      <c r="C808" s="98" t="s">
        <v>298</v>
      </c>
      <c r="D808" s="98">
        <v>610</v>
      </c>
      <c r="E808" s="56" t="s">
        <v>99</v>
      </c>
      <c r="F808" s="21">
        <f>20.2+9.5+8</f>
        <v>37.700000000000003</v>
      </c>
      <c r="G808" s="21">
        <v>37.700000000000003</v>
      </c>
    </row>
    <row r="809" spans="1:7" ht="47.25">
      <c r="A809" s="212" t="s">
        <v>9</v>
      </c>
      <c r="B809" s="212" t="s">
        <v>86</v>
      </c>
      <c r="C809" s="10" t="s">
        <v>405</v>
      </c>
      <c r="D809" s="11"/>
      <c r="E809" s="213" t="s">
        <v>403</v>
      </c>
      <c r="F809" s="21">
        <f>F810</f>
        <v>0.4</v>
      </c>
      <c r="G809" s="21">
        <f t="shared" ref="G809:G810" si="233">G810</f>
        <v>0.4</v>
      </c>
    </row>
    <row r="810" spans="1:7" ht="31.5">
      <c r="A810" s="212" t="s">
        <v>9</v>
      </c>
      <c r="B810" s="212" t="s">
        <v>86</v>
      </c>
      <c r="C810" s="10" t="s">
        <v>405</v>
      </c>
      <c r="D810" s="211" t="s">
        <v>92</v>
      </c>
      <c r="E810" s="213" t="s">
        <v>93</v>
      </c>
      <c r="F810" s="21">
        <f>F811</f>
        <v>0.4</v>
      </c>
      <c r="G810" s="21">
        <f t="shared" si="233"/>
        <v>0.4</v>
      </c>
    </row>
    <row r="811" spans="1:7">
      <c r="A811" s="2" t="s">
        <v>9</v>
      </c>
      <c r="B811" s="212" t="s">
        <v>86</v>
      </c>
      <c r="C811" s="10" t="s">
        <v>405</v>
      </c>
      <c r="D811" s="212">
        <v>610</v>
      </c>
      <c r="E811" s="213" t="s">
        <v>99</v>
      </c>
      <c r="F811" s="21">
        <v>0.4</v>
      </c>
      <c r="G811" s="21">
        <v>0.4</v>
      </c>
    </row>
    <row r="812" spans="1:7" ht="31.5">
      <c r="A812" s="2" t="s">
        <v>9</v>
      </c>
      <c r="B812" s="123" t="s">
        <v>86</v>
      </c>
      <c r="C812" s="122">
        <v>2500000000</v>
      </c>
      <c r="D812" s="123"/>
      <c r="E812" s="56" t="s">
        <v>312</v>
      </c>
      <c r="F812" s="21">
        <f>F813</f>
        <v>103.3</v>
      </c>
      <c r="G812" s="21">
        <f t="shared" ref="G812:G816" si="234">G813</f>
        <v>72.900000000000006</v>
      </c>
    </row>
    <row r="813" spans="1:7" ht="31.5">
      <c r="A813" s="2" t="s">
        <v>9</v>
      </c>
      <c r="B813" s="123" t="s">
        <v>86</v>
      </c>
      <c r="C813" s="122">
        <v>2520000000</v>
      </c>
      <c r="D813" s="123"/>
      <c r="E813" s="56" t="s">
        <v>227</v>
      </c>
      <c r="F813" s="21">
        <f>F814+F818+F822</f>
        <v>103.3</v>
      </c>
      <c r="G813" s="21">
        <f t="shared" ref="G813" si="235">G814+G818+G822</f>
        <v>72.900000000000006</v>
      </c>
    </row>
    <row r="814" spans="1:7" ht="31.5">
      <c r="A814" s="123" t="s">
        <v>9</v>
      </c>
      <c r="B814" s="123" t="s">
        <v>86</v>
      </c>
      <c r="C814" s="122">
        <v>2520400000</v>
      </c>
      <c r="D814" s="123"/>
      <c r="E814" s="56" t="s">
        <v>330</v>
      </c>
      <c r="F814" s="21">
        <f>F815</f>
        <v>7.5</v>
      </c>
      <c r="G814" s="21">
        <f t="shared" si="234"/>
        <v>1.6</v>
      </c>
    </row>
    <row r="815" spans="1:7">
      <c r="A815" s="123" t="s">
        <v>9</v>
      </c>
      <c r="B815" s="123" t="s">
        <v>86</v>
      </c>
      <c r="C815" s="122">
        <v>2520420300</v>
      </c>
      <c r="D815" s="123"/>
      <c r="E815" s="56" t="s">
        <v>331</v>
      </c>
      <c r="F815" s="21">
        <f>F816</f>
        <v>7.5</v>
      </c>
      <c r="G815" s="21">
        <f t="shared" si="234"/>
        <v>1.6</v>
      </c>
    </row>
    <row r="816" spans="1:7" ht="31.5">
      <c r="A816" s="2" t="s">
        <v>9</v>
      </c>
      <c r="B816" s="123" t="s">
        <v>86</v>
      </c>
      <c r="C816" s="122">
        <v>2520420300</v>
      </c>
      <c r="D816" s="122" t="s">
        <v>92</v>
      </c>
      <c r="E816" s="56" t="s">
        <v>93</v>
      </c>
      <c r="F816" s="21">
        <f>F817</f>
        <v>7.5</v>
      </c>
      <c r="G816" s="21">
        <f t="shared" si="234"/>
        <v>1.6</v>
      </c>
    </row>
    <row r="817" spans="1:7">
      <c r="A817" s="2" t="s">
        <v>9</v>
      </c>
      <c r="B817" s="123" t="s">
        <v>86</v>
      </c>
      <c r="C817" s="122">
        <v>2520420300</v>
      </c>
      <c r="D817" s="123">
        <v>610</v>
      </c>
      <c r="E817" s="56" t="s">
        <v>99</v>
      </c>
      <c r="F817" s="21">
        <v>7.5</v>
      </c>
      <c r="G817" s="21">
        <v>1.6</v>
      </c>
    </row>
    <row r="818" spans="1:7" ht="31.5">
      <c r="A818" s="2" t="s">
        <v>9</v>
      </c>
      <c r="B818" s="151" t="s">
        <v>86</v>
      </c>
      <c r="C818" s="150">
        <v>2520500000</v>
      </c>
      <c r="D818" s="151"/>
      <c r="E818" s="152" t="s">
        <v>341</v>
      </c>
      <c r="F818" s="21">
        <f>F819</f>
        <v>62.8</v>
      </c>
      <c r="G818" s="21">
        <f t="shared" ref="G818:G820" si="236">G819</f>
        <v>41.2</v>
      </c>
    </row>
    <row r="819" spans="1:7">
      <c r="A819" s="2" t="s">
        <v>9</v>
      </c>
      <c r="B819" s="151" t="s">
        <v>86</v>
      </c>
      <c r="C819" s="150">
        <v>2520520300</v>
      </c>
      <c r="D819" s="151"/>
      <c r="E819" s="152" t="s">
        <v>342</v>
      </c>
      <c r="F819" s="21">
        <f>F820</f>
        <v>62.8</v>
      </c>
      <c r="G819" s="21">
        <f t="shared" si="236"/>
        <v>41.2</v>
      </c>
    </row>
    <row r="820" spans="1:7" ht="31.5">
      <c r="A820" s="151" t="s">
        <v>9</v>
      </c>
      <c r="B820" s="151" t="s">
        <v>86</v>
      </c>
      <c r="C820" s="150">
        <v>2520520300</v>
      </c>
      <c r="D820" s="150" t="s">
        <v>92</v>
      </c>
      <c r="E820" s="56" t="s">
        <v>93</v>
      </c>
      <c r="F820" s="21">
        <f>F821</f>
        <v>62.8</v>
      </c>
      <c r="G820" s="21">
        <f t="shared" si="236"/>
        <v>41.2</v>
      </c>
    </row>
    <row r="821" spans="1:7">
      <c r="A821" s="151" t="s">
        <v>9</v>
      </c>
      <c r="B821" s="151" t="s">
        <v>86</v>
      </c>
      <c r="C821" s="150">
        <v>2520520300</v>
      </c>
      <c r="D821" s="151">
        <v>610</v>
      </c>
      <c r="E821" s="56" t="s">
        <v>99</v>
      </c>
      <c r="F821" s="21">
        <v>62.8</v>
      </c>
      <c r="G821" s="21">
        <v>41.2</v>
      </c>
    </row>
    <row r="822" spans="1:7" ht="31.5">
      <c r="A822" s="2" t="s">
        <v>9</v>
      </c>
      <c r="B822" s="151" t="s">
        <v>86</v>
      </c>
      <c r="C822" s="150">
        <v>2520600000</v>
      </c>
      <c r="D822" s="151"/>
      <c r="E822" s="152" t="s">
        <v>340</v>
      </c>
      <c r="F822" s="21">
        <f>F823</f>
        <v>33</v>
      </c>
      <c r="G822" s="21">
        <f t="shared" ref="G822:G824" si="237">G823</f>
        <v>30.1</v>
      </c>
    </row>
    <row r="823" spans="1:7">
      <c r="A823" s="2" t="s">
        <v>9</v>
      </c>
      <c r="B823" s="151" t="s">
        <v>86</v>
      </c>
      <c r="C823" s="150">
        <v>2520620200</v>
      </c>
      <c r="D823" s="151"/>
      <c r="E823" s="152" t="s">
        <v>275</v>
      </c>
      <c r="F823" s="21">
        <f>F824</f>
        <v>33</v>
      </c>
      <c r="G823" s="21">
        <f t="shared" si="237"/>
        <v>30.1</v>
      </c>
    </row>
    <row r="824" spans="1:7" ht="31.5">
      <c r="A824" s="2" t="s">
        <v>9</v>
      </c>
      <c r="B824" s="151" t="s">
        <v>86</v>
      </c>
      <c r="C824" s="150">
        <v>2520620200</v>
      </c>
      <c r="D824" s="150" t="s">
        <v>92</v>
      </c>
      <c r="E824" s="56" t="s">
        <v>93</v>
      </c>
      <c r="F824" s="21">
        <f>F825</f>
        <v>33</v>
      </c>
      <c r="G824" s="21">
        <f t="shared" si="237"/>
        <v>30.1</v>
      </c>
    </row>
    <row r="825" spans="1:7">
      <c r="A825" s="2" t="s">
        <v>9</v>
      </c>
      <c r="B825" s="151" t="s">
        <v>86</v>
      </c>
      <c r="C825" s="150">
        <v>2520620200</v>
      </c>
      <c r="D825" s="151">
        <v>610</v>
      </c>
      <c r="E825" s="56" t="s">
        <v>99</v>
      </c>
      <c r="F825" s="21">
        <v>33</v>
      </c>
      <c r="G825" s="21">
        <v>30.1</v>
      </c>
    </row>
    <row r="826" spans="1:7">
      <c r="A826" s="98" t="s">
        <v>9</v>
      </c>
      <c r="B826" s="98" t="s">
        <v>51</v>
      </c>
      <c r="C826" s="98" t="s">
        <v>64</v>
      </c>
      <c r="D826" s="98" t="s">
        <v>64</v>
      </c>
      <c r="E826" s="99" t="s">
        <v>12</v>
      </c>
      <c r="F826" s="21">
        <f>F827+F847</f>
        <v>11111.5</v>
      </c>
      <c r="G826" s="21">
        <f>G827+G847</f>
        <v>11067.3</v>
      </c>
    </row>
    <row r="827" spans="1:7" ht="34.15" customHeight="1">
      <c r="A827" s="98" t="s">
        <v>9</v>
      </c>
      <c r="B827" s="98" t="s">
        <v>51</v>
      </c>
      <c r="C827" s="100">
        <v>2100000000</v>
      </c>
      <c r="D827" s="98"/>
      <c r="E827" s="99" t="s">
        <v>313</v>
      </c>
      <c r="F827" s="21">
        <f>F838+F828</f>
        <v>3614.8</v>
      </c>
      <c r="G827" s="21">
        <f t="shared" ref="G827" si="238">G838+G828</f>
        <v>3585.6000000000004</v>
      </c>
    </row>
    <row r="828" spans="1:7">
      <c r="A828" s="151" t="s">
        <v>9</v>
      </c>
      <c r="B828" s="151" t="s">
        <v>51</v>
      </c>
      <c r="C828" s="151">
        <v>2110000000</v>
      </c>
      <c r="D828" s="151"/>
      <c r="E828" s="152" t="s">
        <v>159</v>
      </c>
      <c r="F828" s="21">
        <f>F829</f>
        <v>3390.5</v>
      </c>
      <c r="G828" s="21">
        <f t="shared" ref="G828" si="239">G829</f>
        <v>3361.6000000000004</v>
      </c>
    </row>
    <row r="829" spans="1:7">
      <c r="A829" s="151" t="s">
        <v>9</v>
      </c>
      <c r="B829" s="151" t="s">
        <v>51</v>
      </c>
      <c r="C829" s="151">
        <v>2110400000</v>
      </c>
      <c r="D829" s="151"/>
      <c r="E829" s="152" t="s">
        <v>163</v>
      </c>
      <c r="F829" s="21">
        <f>F830+F835</f>
        <v>3390.5</v>
      </c>
      <c r="G829" s="21">
        <f t="shared" ref="G829" si="240">G830+G835</f>
        <v>3361.6000000000004</v>
      </c>
    </row>
    <row r="830" spans="1:7" ht="31.5">
      <c r="A830" s="151" t="s">
        <v>9</v>
      </c>
      <c r="B830" s="151" t="s">
        <v>51</v>
      </c>
      <c r="C830" s="151">
        <v>2110410240</v>
      </c>
      <c r="D830" s="151"/>
      <c r="E830" s="56" t="s">
        <v>236</v>
      </c>
      <c r="F830" s="21">
        <f>F831+F833</f>
        <v>3051.4</v>
      </c>
      <c r="G830" s="21">
        <f t="shared" ref="G830" si="241">G831+G833</f>
        <v>3024.2000000000003</v>
      </c>
    </row>
    <row r="831" spans="1:7">
      <c r="A831" s="151" t="s">
        <v>9</v>
      </c>
      <c r="B831" s="151" t="s">
        <v>51</v>
      </c>
      <c r="C831" s="151">
        <v>2110410240</v>
      </c>
      <c r="D831" s="1" t="s">
        <v>71</v>
      </c>
      <c r="E831" s="47" t="s">
        <v>72</v>
      </c>
      <c r="F831" s="21">
        <f>F832</f>
        <v>154.19999999999999</v>
      </c>
      <c r="G831" s="21">
        <f t="shared" ref="G831" si="242">G832</f>
        <v>133.80000000000001</v>
      </c>
    </row>
    <row r="832" spans="1:7" ht="31.5">
      <c r="A832" s="151" t="s">
        <v>9</v>
      </c>
      <c r="B832" s="151" t="s">
        <v>51</v>
      </c>
      <c r="C832" s="151">
        <v>2110410240</v>
      </c>
      <c r="D832" s="151">
        <v>320</v>
      </c>
      <c r="E832" s="152" t="s">
        <v>97</v>
      </c>
      <c r="F832" s="21">
        <f>75.4-14.4+235.5-142.3</f>
        <v>154.19999999999999</v>
      </c>
      <c r="G832" s="21">
        <v>133.80000000000001</v>
      </c>
    </row>
    <row r="833" spans="1:7" ht="31.5">
      <c r="A833" s="151" t="s">
        <v>9</v>
      </c>
      <c r="B833" s="151" t="s">
        <v>51</v>
      </c>
      <c r="C833" s="151">
        <v>2110410240</v>
      </c>
      <c r="D833" s="150" t="s">
        <v>92</v>
      </c>
      <c r="E833" s="152" t="s">
        <v>93</v>
      </c>
      <c r="F833" s="21">
        <f>F834</f>
        <v>2897.2000000000003</v>
      </c>
      <c r="G833" s="21">
        <f t="shared" ref="G833" si="243">G834</f>
        <v>2890.4</v>
      </c>
    </row>
    <row r="834" spans="1:7">
      <c r="A834" s="151" t="s">
        <v>9</v>
      </c>
      <c r="B834" s="151" t="s">
        <v>51</v>
      </c>
      <c r="C834" s="151">
        <v>2110410240</v>
      </c>
      <c r="D834" s="151">
        <v>610</v>
      </c>
      <c r="E834" s="152" t="s">
        <v>99</v>
      </c>
      <c r="F834" s="21">
        <f>3404-413.6-235.5+142.3</f>
        <v>2897.2000000000003</v>
      </c>
      <c r="G834" s="21">
        <v>2890.4</v>
      </c>
    </row>
    <row r="835" spans="1:7" ht="31.5">
      <c r="A835" s="151" t="s">
        <v>9</v>
      </c>
      <c r="B835" s="151" t="s">
        <v>51</v>
      </c>
      <c r="C835" s="151" t="s">
        <v>310</v>
      </c>
      <c r="D835" s="151"/>
      <c r="E835" s="152" t="s">
        <v>164</v>
      </c>
      <c r="F835" s="21">
        <f>F836</f>
        <v>339.1</v>
      </c>
      <c r="G835" s="21">
        <f t="shared" ref="G835:G836" si="244">G836</f>
        <v>337.4</v>
      </c>
    </row>
    <row r="836" spans="1:7" ht="31.5">
      <c r="A836" s="151" t="s">
        <v>9</v>
      </c>
      <c r="B836" s="151" t="s">
        <v>51</v>
      </c>
      <c r="C836" s="151" t="s">
        <v>310</v>
      </c>
      <c r="D836" s="181" t="s">
        <v>92</v>
      </c>
      <c r="E836" s="183" t="s">
        <v>93</v>
      </c>
      <c r="F836" s="21">
        <f>F837</f>
        <v>339.1</v>
      </c>
      <c r="G836" s="21">
        <f t="shared" si="244"/>
        <v>337.4</v>
      </c>
    </row>
    <row r="837" spans="1:7">
      <c r="A837" s="151" t="s">
        <v>9</v>
      </c>
      <c r="B837" s="151" t="s">
        <v>51</v>
      </c>
      <c r="C837" s="151" t="s">
        <v>310</v>
      </c>
      <c r="D837" s="182">
        <v>610</v>
      </c>
      <c r="E837" s="183" t="s">
        <v>99</v>
      </c>
      <c r="F837" s="21">
        <f>386.6-47.5</f>
        <v>339.1</v>
      </c>
      <c r="G837" s="21">
        <v>337.4</v>
      </c>
    </row>
    <row r="838" spans="1:7" ht="31.5">
      <c r="A838" s="98" t="s">
        <v>9</v>
      </c>
      <c r="B838" s="98" t="s">
        <v>51</v>
      </c>
      <c r="C838" s="100">
        <v>2130000000</v>
      </c>
      <c r="D838" s="24"/>
      <c r="E838" s="99" t="s">
        <v>109</v>
      </c>
      <c r="F838" s="21">
        <f>F843+F839</f>
        <v>224.3</v>
      </c>
      <c r="G838" s="21">
        <f>G843+G839</f>
        <v>224</v>
      </c>
    </row>
    <row r="839" spans="1:7" ht="31.5">
      <c r="A839" s="98" t="s">
        <v>9</v>
      </c>
      <c r="B839" s="98" t="s">
        <v>51</v>
      </c>
      <c r="C839" s="98">
        <v>2130100000</v>
      </c>
      <c r="D839" s="24"/>
      <c r="E839" s="99" t="s">
        <v>202</v>
      </c>
      <c r="F839" s="21">
        <f>F840</f>
        <v>125.8</v>
      </c>
      <c r="G839" s="21">
        <f t="shared" ref="G839:G841" si="245">G840</f>
        <v>125.8</v>
      </c>
    </row>
    <row r="840" spans="1:7" ht="31.5">
      <c r="A840" s="98" t="s">
        <v>9</v>
      </c>
      <c r="B840" s="98" t="s">
        <v>51</v>
      </c>
      <c r="C840" s="100">
        <v>2130120260</v>
      </c>
      <c r="D840" s="24"/>
      <c r="E840" s="99" t="s">
        <v>203</v>
      </c>
      <c r="F840" s="21">
        <f>F841</f>
        <v>125.8</v>
      </c>
      <c r="G840" s="21">
        <f t="shared" si="245"/>
        <v>125.8</v>
      </c>
    </row>
    <row r="841" spans="1:7" ht="31.5">
      <c r="A841" s="98" t="s">
        <v>9</v>
      </c>
      <c r="B841" s="98" t="s">
        <v>51</v>
      </c>
      <c r="C841" s="100">
        <v>2130120260</v>
      </c>
      <c r="D841" s="98" t="s">
        <v>67</v>
      </c>
      <c r="E841" s="99" t="s">
        <v>90</v>
      </c>
      <c r="F841" s="21">
        <f>F842</f>
        <v>125.8</v>
      </c>
      <c r="G841" s="21">
        <f t="shared" si="245"/>
        <v>125.8</v>
      </c>
    </row>
    <row r="842" spans="1:7" ht="31.5">
      <c r="A842" s="98" t="s">
        <v>9</v>
      </c>
      <c r="B842" s="98" t="s">
        <v>51</v>
      </c>
      <c r="C842" s="100">
        <v>2130120260</v>
      </c>
      <c r="D842" s="98">
        <v>240</v>
      </c>
      <c r="E842" s="99" t="s">
        <v>216</v>
      </c>
      <c r="F842" s="21">
        <v>125.8</v>
      </c>
      <c r="G842" s="21">
        <v>125.8</v>
      </c>
    </row>
    <row r="843" spans="1:7" ht="31.5">
      <c r="A843" s="98" t="s">
        <v>9</v>
      </c>
      <c r="B843" s="98" t="s">
        <v>51</v>
      </c>
      <c r="C843" s="98">
        <v>2130200000</v>
      </c>
      <c r="D843" s="98"/>
      <c r="E843" s="99" t="s">
        <v>165</v>
      </c>
      <c r="F843" s="21">
        <f t="shared" ref="F843:G845" si="246">F844</f>
        <v>98.5</v>
      </c>
      <c r="G843" s="21">
        <f t="shared" si="246"/>
        <v>98.2</v>
      </c>
    </row>
    <row r="844" spans="1:7" ht="31.5">
      <c r="A844" s="98" t="s">
        <v>9</v>
      </c>
      <c r="B844" s="98" t="s">
        <v>51</v>
      </c>
      <c r="C844" s="98">
        <v>2130220270</v>
      </c>
      <c r="D844" s="98"/>
      <c r="E844" s="99" t="s">
        <v>166</v>
      </c>
      <c r="F844" s="21">
        <f t="shared" si="246"/>
        <v>98.5</v>
      </c>
      <c r="G844" s="21">
        <f t="shared" si="246"/>
        <v>98.2</v>
      </c>
    </row>
    <row r="845" spans="1:7" ht="31.5">
      <c r="A845" s="98" t="s">
        <v>9</v>
      </c>
      <c r="B845" s="98" t="s">
        <v>51</v>
      </c>
      <c r="C845" s="98">
        <v>2130220270</v>
      </c>
      <c r="D845" s="98" t="s">
        <v>67</v>
      </c>
      <c r="E845" s="99" t="s">
        <v>90</v>
      </c>
      <c r="F845" s="21">
        <f t="shared" si="246"/>
        <v>98.5</v>
      </c>
      <c r="G845" s="21">
        <f t="shared" si="246"/>
        <v>98.2</v>
      </c>
    </row>
    <row r="846" spans="1:7" ht="31.5">
      <c r="A846" s="98" t="s">
        <v>9</v>
      </c>
      <c r="B846" s="98" t="s">
        <v>51</v>
      </c>
      <c r="C846" s="98">
        <v>2130220270</v>
      </c>
      <c r="D846" s="98">
        <v>240</v>
      </c>
      <c r="E846" s="99" t="s">
        <v>216</v>
      </c>
      <c r="F846" s="21">
        <v>98.5</v>
      </c>
      <c r="G846" s="21">
        <v>98.2</v>
      </c>
    </row>
    <row r="847" spans="1:7">
      <c r="A847" s="98" t="s">
        <v>9</v>
      </c>
      <c r="B847" s="98" t="s">
        <v>51</v>
      </c>
      <c r="C847" s="98">
        <v>9900000000</v>
      </c>
      <c r="D847" s="98"/>
      <c r="E847" s="99" t="s">
        <v>100</v>
      </c>
      <c r="F847" s="21">
        <f t="shared" ref="F847:G848" si="247">F848</f>
        <v>7496.7</v>
      </c>
      <c r="G847" s="21">
        <f t="shared" si="247"/>
        <v>7481.7</v>
      </c>
    </row>
    <row r="848" spans="1:7" ht="31.5">
      <c r="A848" s="98" t="s">
        <v>9</v>
      </c>
      <c r="B848" s="98" t="s">
        <v>51</v>
      </c>
      <c r="C848" s="98">
        <v>9990000000</v>
      </c>
      <c r="D848" s="98"/>
      <c r="E848" s="99" t="s">
        <v>141</v>
      </c>
      <c r="F848" s="21">
        <f t="shared" si="247"/>
        <v>7496.7</v>
      </c>
      <c r="G848" s="21">
        <f t="shared" si="247"/>
        <v>7481.7</v>
      </c>
    </row>
    <row r="849" spans="1:7" ht="31.5">
      <c r="A849" s="98" t="s">
        <v>9</v>
      </c>
      <c r="B849" s="98" t="s">
        <v>51</v>
      </c>
      <c r="C849" s="98">
        <v>9990200000</v>
      </c>
      <c r="D849" s="24"/>
      <c r="E849" s="99" t="s">
        <v>112</v>
      </c>
      <c r="F849" s="21">
        <f>F850+F855</f>
        <v>7496.7</v>
      </c>
      <c r="G849" s="21">
        <f t="shared" ref="G849" si="248">G850+G855</f>
        <v>7481.7</v>
      </c>
    </row>
    <row r="850" spans="1:7" ht="47.25">
      <c r="A850" s="98" t="s">
        <v>9</v>
      </c>
      <c r="B850" s="98" t="s">
        <v>51</v>
      </c>
      <c r="C850" s="98">
        <v>9990225000</v>
      </c>
      <c r="D850" s="98"/>
      <c r="E850" s="99" t="s">
        <v>113</v>
      </c>
      <c r="F850" s="21">
        <f>F851+F853</f>
        <v>7332.0999999999995</v>
      </c>
      <c r="G850" s="21">
        <f>G851+G853</f>
        <v>7332.0999999999995</v>
      </c>
    </row>
    <row r="851" spans="1:7" ht="63">
      <c r="A851" s="98" t="s">
        <v>9</v>
      </c>
      <c r="B851" s="98" t="s">
        <v>51</v>
      </c>
      <c r="C851" s="98">
        <v>9990225000</v>
      </c>
      <c r="D851" s="98" t="s">
        <v>66</v>
      </c>
      <c r="E851" s="99" t="s">
        <v>1</v>
      </c>
      <c r="F851" s="21">
        <f>F852</f>
        <v>7307.9</v>
      </c>
      <c r="G851" s="21">
        <f>G852</f>
        <v>7307.9</v>
      </c>
    </row>
    <row r="852" spans="1:7" ht="31.5">
      <c r="A852" s="98" t="s">
        <v>9</v>
      </c>
      <c r="B852" s="98" t="s">
        <v>51</v>
      </c>
      <c r="C852" s="98">
        <v>9990225000</v>
      </c>
      <c r="D852" s="98">
        <v>120</v>
      </c>
      <c r="E852" s="99" t="s">
        <v>217</v>
      </c>
      <c r="F852" s="21">
        <f>6844.5+317.4+110+36</f>
        <v>7307.9</v>
      </c>
      <c r="G852" s="21">
        <v>7307.9</v>
      </c>
    </row>
    <row r="853" spans="1:7" ht="18.600000000000001" customHeight="1">
      <c r="A853" s="98" t="s">
        <v>9</v>
      </c>
      <c r="B853" s="98" t="s">
        <v>51</v>
      </c>
      <c r="C853" s="98">
        <v>9990225000</v>
      </c>
      <c r="D853" s="98" t="s">
        <v>68</v>
      </c>
      <c r="E853" s="99" t="s">
        <v>69</v>
      </c>
      <c r="F853" s="21">
        <f>F854</f>
        <v>24.2</v>
      </c>
      <c r="G853" s="21">
        <f>G854</f>
        <v>24.2</v>
      </c>
    </row>
    <row r="854" spans="1:7" ht="18.600000000000001" customHeight="1">
      <c r="A854" s="98" t="s">
        <v>9</v>
      </c>
      <c r="B854" s="98" t="s">
        <v>51</v>
      </c>
      <c r="C854" s="98">
        <v>9990225000</v>
      </c>
      <c r="D854" s="98">
        <v>850</v>
      </c>
      <c r="E854" s="99" t="s">
        <v>95</v>
      </c>
      <c r="F854" s="21">
        <v>24.2</v>
      </c>
      <c r="G854" s="21">
        <v>24.2</v>
      </c>
    </row>
    <row r="855" spans="1:7" ht="47.25">
      <c r="A855" s="224" t="s">
        <v>9</v>
      </c>
      <c r="B855" s="224" t="s">
        <v>51</v>
      </c>
      <c r="C855" s="229">
        <v>9990255492</v>
      </c>
      <c r="D855" s="224"/>
      <c r="E855" s="225" t="s">
        <v>409</v>
      </c>
      <c r="F855" s="21">
        <f>F856</f>
        <v>164.6</v>
      </c>
      <c r="G855" s="21">
        <f t="shared" ref="G855:G856" si="249">G856</f>
        <v>149.6</v>
      </c>
    </row>
    <row r="856" spans="1:7" ht="63">
      <c r="A856" s="224" t="s">
        <v>9</v>
      </c>
      <c r="B856" s="224" t="s">
        <v>51</v>
      </c>
      <c r="C856" s="229">
        <v>9990255492</v>
      </c>
      <c r="D856" s="224" t="s">
        <v>66</v>
      </c>
      <c r="E856" s="225" t="s">
        <v>1</v>
      </c>
      <c r="F856" s="21">
        <f>F857</f>
        <v>164.6</v>
      </c>
      <c r="G856" s="21">
        <f t="shared" si="249"/>
        <v>149.6</v>
      </c>
    </row>
    <row r="857" spans="1:7" ht="31.5">
      <c r="A857" s="224" t="s">
        <v>9</v>
      </c>
      <c r="B857" s="224" t="s">
        <v>51</v>
      </c>
      <c r="C857" s="229">
        <v>9990255492</v>
      </c>
      <c r="D857" s="224">
        <v>120</v>
      </c>
      <c r="E857" s="225" t="s">
        <v>217</v>
      </c>
      <c r="F857" s="21">
        <v>164.6</v>
      </c>
      <c r="G857" s="21">
        <v>149.6</v>
      </c>
    </row>
    <row r="858" spans="1:7">
      <c r="A858" s="98" t="s">
        <v>9</v>
      </c>
      <c r="B858" s="98" t="s">
        <v>39</v>
      </c>
      <c r="C858" s="98" t="s">
        <v>64</v>
      </c>
      <c r="D858" s="98" t="s">
        <v>64</v>
      </c>
      <c r="E858" s="99" t="s">
        <v>31</v>
      </c>
      <c r="F858" s="21">
        <f>F859</f>
        <v>9592.7000000000007</v>
      </c>
      <c r="G858" s="21">
        <f t="shared" ref="G858:G862" si="250">G859</f>
        <v>8550</v>
      </c>
    </row>
    <row r="859" spans="1:7">
      <c r="A859" s="98" t="s">
        <v>9</v>
      </c>
      <c r="B859" s="98" t="s">
        <v>82</v>
      </c>
      <c r="C859" s="98" t="s">
        <v>64</v>
      </c>
      <c r="D859" s="98" t="s">
        <v>64</v>
      </c>
      <c r="E859" s="99" t="s">
        <v>83</v>
      </c>
      <c r="F859" s="21">
        <f>F860</f>
        <v>9592.7000000000007</v>
      </c>
      <c r="G859" s="21">
        <f t="shared" si="250"/>
        <v>8550</v>
      </c>
    </row>
    <row r="860" spans="1:7" ht="39.6" customHeight="1">
      <c r="A860" s="98" t="s">
        <v>9</v>
      </c>
      <c r="B860" s="98" t="s">
        <v>82</v>
      </c>
      <c r="C860" s="100">
        <v>2100000000</v>
      </c>
      <c r="D860" s="98"/>
      <c r="E860" s="99" t="s">
        <v>313</v>
      </c>
      <c r="F860" s="21">
        <f>F861</f>
        <v>9592.7000000000007</v>
      </c>
      <c r="G860" s="21">
        <f t="shared" si="250"/>
        <v>8550</v>
      </c>
    </row>
    <row r="861" spans="1:7">
      <c r="A861" s="98" t="s">
        <v>9</v>
      </c>
      <c r="B861" s="98" t="s">
        <v>82</v>
      </c>
      <c r="C861" s="98">
        <v>2110000000</v>
      </c>
      <c r="D861" s="98"/>
      <c r="E861" s="99" t="s">
        <v>159</v>
      </c>
      <c r="F861" s="21">
        <f>F862</f>
        <v>9592.7000000000007</v>
      </c>
      <c r="G861" s="21">
        <f t="shared" si="250"/>
        <v>8550</v>
      </c>
    </row>
    <row r="862" spans="1:7" ht="47.25">
      <c r="A862" s="98" t="s">
        <v>9</v>
      </c>
      <c r="B862" s="98" t="s">
        <v>82</v>
      </c>
      <c r="C862" s="98">
        <v>2110200000</v>
      </c>
      <c r="D862" s="98"/>
      <c r="E862" s="99" t="s">
        <v>167</v>
      </c>
      <c r="F862" s="21">
        <f>F863</f>
        <v>9592.7000000000007</v>
      </c>
      <c r="G862" s="21">
        <f t="shared" si="250"/>
        <v>8550</v>
      </c>
    </row>
    <row r="863" spans="1:7" ht="78.75">
      <c r="A863" s="98" t="s">
        <v>9</v>
      </c>
      <c r="B863" s="98" t="s">
        <v>82</v>
      </c>
      <c r="C863" s="98">
        <v>2110210500</v>
      </c>
      <c r="D863" s="98"/>
      <c r="E863" s="99" t="s">
        <v>211</v>
      </c>
      <c r="F863" s="21">
        <f>F864+F866</f>
        <v>9592.7000000000007</v>
      </c>
      <c r="G863" s="21">
        <f>G864+G866</f>
        <v>8550</v>
      </c>
    </row>
    <row r="864" spans="1:7" ht="31.5">
      <c r="A864" s="98" t="s">
        <v>9</v>
      </c>
      <c r="B864" s="98" t="s">
        <v>82</v>
      </c>
      <c r="C864" s="98">
        <v>2110210500</v>
      </c>
      <c r="D864" s="98" t="s">
        <v>67</v>
      </c>
      <c r="E864" s="99" t="s">
        <v>90</v>
      </c>
      <c r="F864" s="21">
        <f>F865</f>
        <v>233.9</v>
      </c>
      <c r="G864" s="21">
        <f>G865</f>
        <v>193.6</v>
      </c>
    </row>
    <row r="865" spans="1:7" ht="31.5">
      <c r="A865" s="98" t="s">
        <v>9</v>
      </c>
      <c r="B865" s="98" t="s">
        <v>82</v>
      </c>
      <c r="C865" s="98">
        <v>2110210500</v>
      </c>
      <c r="D865" s="98">
        <v>240</v>
      </c>
      <c r="E865" s="99" t="s">
        <v>216</v>
      </c>
      <c r="F865" s="21">
        <f>233.3+0.6</f>
        <v>233.9</v>
      </c>
      <c r="G865" s="21">
        <v>193.6</v>
      </c>
    </row>
    <row r="866" spans="1:7">
      <c r="A866" s="98" t="s">
        <v>9</v>
      </c>
      <c r="B866" s="98" t="s">
        <v>82</v>
      </c>
      <c r="C866" s="98">
        <v>2110210500</v>
      </c>
      <c r="D866" s="98" t="s">
        <v>71</v>
      </c>
      <c r="E866" s="99" t="s">
        <v>72</v>
      </c>
      <c r="F866" s="21">
        <f>F867</f>
        <v>9358.8000000000011</v>
      </c>
      <c r="G866" s="21">
        <f>G867</f>
        <v>8356.4</v>
      </c>
    </row>
    <row r="867" spans="1:7" ht="31.5">
      <c r="A867" s="98" t="s">
        <v>9</v>
      </c>
      <c r="B867" s="98" t="s">
        <v>82</v>
      </c>
      <c r="C867" s="98">
        <v>2110210500</v>
      </c>
      <c r="D867" s="1" t="s">
        <v>96</v>
      </c>
      <c r="E867" s="47" t="s">
        <v>97</v>
      </c>
      <c r="F867" s="21">
        <f>9333.7+25.1</f>
        <v>9358.8000000000011</v>
      </c>
      <c r="G867" s="21">
        <v>8356.4</v>
      </c>
    </row>
  </sheetData>
  <autoFilter ref="A6:G6"/>
  <mergeCells count="9">
    <mergeCell ref="B1:G1"/>
    <mergeCell ref="F4:F5"/>
    <mergeCell ref="G4:G5"/>
    <mergeCell ref="A3:G3"/>
    <mergeCell ref="A4:A5"/>
    <mergeCell ref="B4:B5"/>
    <mergeCell ref="C4:C5"/>
    <mergeCell ref="D4:D5"/>
    <mergeCell ref="E4:E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I807"/>
  <sheetViews>
    <sheetView topLeftCell="A742" zoomScale="90" zoomScaleNormal="90" workbookViewId="0">
      <selection activeCell="D239" sqref="D239"/>
    </sheetView>
  </sheetViews>
  <sheetFormatPr defaultColWidth="8.85546875" defaultRowHeight="15.75"/>
  <cols>
    <col min="1" max="1" width="7.7109375" style="14" customWidth="1"/>
    <col min="2" max="2" width="15" style="14" customWidth="1"/>
    <col min="3" max="3" width="5.5703125" style="14" customWidth="1"/>
    <col min="4" max="4" width="68.42578125" style="51" customWidth="1"/>
    <col min="5" max="5" width="13.7109375" style="20" customWidth="1"/>
    <col min="6" max="6" width="12.5703125" style="20" customWidth="1"/>
    <col min="7" max="7" width="8.85546875" style="3"/>
    <col min="8" max="8" width="10.42578125" style="29" bestFit="1" customWidth="1"/>
    <col min="9" max="9" width="12.85546875" style="29" customWidth="1"/>
    <col min="10" max="16384" width="8.85546875" style="3"/>
  </cols>
  <sheetData>
    <row r="1" spans="1:6" ht="56.45" customHeight="1">
      <c r="A1" s="436" t="s">
        <v>430</v>
      </c>
      <c r="B1" s="436"/>
      <c r="C1" s="436"/>
      <c r="D1" s="436"/>
      <c r="E1" s="436"/>
      <c r="F1" s="436"/>
    </row>
    <row r="2" spans="1:6" ht="25.15" customHeight="1">
      <c r="A2" s="221"/>
      <c r="B2" s="221"/>
      <c r="C2" s="221"/>
      <c r="D2" s="223"/>
      <c r="E2" s="223"/>
      <c r="F2" s="271"/>
    </row>
    <row r="3" spans="1:6" ht="60.6" customHeight="1">
      <c r="A3" s="439" t="s">
        <v>416</v>
      </c>
      <c r="B3" s="439"/>
      <c r="C3" s="439"/>
      <c r="D3" s="439"/>
      <c r="E3" s="439"/>
      <c r="F3" s="439"/>
    </row>
    <row r="4" spans="1:6" ht="15.6" customHeight="1">
      <c r="A4" s="442" t="s">
        <v>36</v>
      </c>
      <c r="B4" s="442" t="s">
        <v>16</v>
      </c>
      <c r="C4" s="442" t="s">
        <v>17</v>
      </c>
      <c r="D4" s="443" t="s">
        <v>18</v>
      </c>
      <c r="E4" s="416" t="s">
        <v>411</v>
      </c>
      <c r="F4" s="418" t="s">
        <v>412</v>
      </c>
    </row>
    <row r="5" spans="1:6" ht="40.15" customHeight="1">
      <c r="A5" s="442" t="s">
        <v>64</v>
      </c>
      <c r="B5" s="442" t="s">
        <v>64</v>
      </c>
      <c r="C5" s="442" t="s">
        <v>64</v>
      </c>
      <c r="D5" s="443" t="s">
        <v>64</v>
      </c>
      <c r="E5" s="417"/>
      <c r="F5" s="419"/>
    </row>
    <row r="6" spans="1:6">
      <c r="A6" s="226" t="s">
        <v>3</v>
      </c>
      <c r="B6" s="226" t="s">
        <v>75</v>
      </c>
      <c r="C6" s="226">
        <v>3</v>
      </c>
      <c r="D6" s="226" t="s">
        <v>77</v>
      </c>
      <c r="E6" s="226" t="s">
        <v>78</v>
      </c>
      <c r="F6" s="272" t="s">
        <v>79</v>
      </c>
    </row>
    <row r="7" spans="1:6">
      <c r="A7" s="4" t="s">
        <v>64</v>
      </c>
      <c r="B7" s="4" t="s">
        <v>64</v>
      </c>
      <c r="C7" s="4" t="s">
        <v>64</v>
      </c>
      <c r="D7" s="5" t="s">
        <v>0</v>
      </c>
      <c r="E7" s="6">
        <f>E8+E162+E186+E242+E345+E596+E669+E719+E794</f>
        <v>1322360.3999999999</v>
      </c>
      <c r="F7" s="6">
        <f>F8+F162+F186+F242+F345+F596+F669+F719+F794</f>
        <v>1175067.2999999998</v>
      </c>
    </row>
    <row r="8" spans="1:6">
      <c r="A8" s="4" t="s">
        <v>53</v>
      </c>
      <c r="B8" s="4" t="s">
        <v>64</v>
      </c>
      <c r="C8" s="4" t="s">
        <v>64</v>
      </c>
      <c r="D8" s="19" t="s">
        <v>20</v>
      </c>
      <c r="E8" s="6">
        <f>E9+E21+E38+E44+E63+E69+E56</f>
        <v>90128.200000000012</v>
      </c>
      <c r="F8" s="6">
        <f>F9+F21+F38+F44+F63+F69+F56</f>
        <v>83085.300000000017</v>
      </c>
    </row>
    <row r="9" spans="1:6" ht="47.25">
      <c r="A9" s="226" t="s">
        <v>43</v>
      </c>
      <c r="B9" s="226" t="s">
        <v>64</v>
      </c>
      <c r="C9" s="226" t="s">
        <v>64</v>
      </c>
      <c r="D9" s="227" t="s">
        <v>21</v>
      </c>
      <c r="E9" s="7">
        <f>E10</f>
        <v>3835.2000000000003</v>
      </c>
      <c r="F9" s="7">
        <f t="shared" ref="F9:F11" si="0">F10</f>
        <v>3816.1</v>
      </c>
    </row>
    <row r="10" spans="1:6">
      <c r="A10" s="224" t="s">
        <v>43</v>
      </c>
      <c r="B10" s="219" t="s">
        <v>105</v>
      </c>
      <c r="C10" s="219" t="s">
        <v>64</v>
      </c>
      <c r="D10" s="225" t="s">
        <v>100</v>
      </c>
      <c r="E10" s="17">
        <f>E11</f>
        <v>3835.2000000000003</v>
      </c>
      <c r="F10" s="17">
        <f t="shared" si="0"/>
        <v>3816.1</v>
      </c>
    </row>
    <row r="11" spans="1:6" ht="31.5">
      <c r="A11" s="224" t="s">
        <v>43</v>
      </c>
      <c r="B11" s="224">
        <v>9990000000</v>
      </c>
      <c r="C11" s="224"/>
      <c r="D11" s="49" t="s">
        <v>141</v>
      </c>
      <c r="E11" s="17">
        <f>E12</f>
        <v>3835.2000000000003</v>
      </c>
      <c r="F11" s="17">
        <f t="shared" si="0"/>
        <v>3816.1</v>
      </c>
    </row>
    <row r="12" spans="1:6" ht="31.5">
      <c r="A12" s="224" t="s">
        <v>43</v>
      </c>
      <c r="B12" s="224">
        <v>9990100000</v>
      </c>
      <c r="C12" s="224"/>
      <c r="D12" s="49" t="s">
        <v>157</v>
      </c>
      <c r="E12" s="17">
        <f>E13+E18</f>
        <v>3835.2000000000003</v>
      </c>
      <c r="F12" s="17">
        <f t="shared" ref="F12" si="1">F13+F18</f>
        <v>3816.1</v>
      </c>
    </row>
    <row r="13" spans="1:6" ht="31.5">
      <c r="A13" s="224" t="s">
        <v>43</v>
      </c>
      <c r="B13" s="224">
        <v>9990123000</v>
      </c>
      <c r="C13" s="224"/>
      <c r="D13" s="49" t="s">
        <v>158</v>
      </c>
      <c r="E13" s="17">
        <f>E14+E16</f>
        <v>3790.3</v>
      </c>
      <c r="F13" s="17">
        <f>F14+F16</f>
        <v>3786.2</v>
      </c>
    </row>
    <row r="14" spans="1:6" ht="63">
      <c r="A14" s="224" t="s">
        <v>43</v>
      </c>
      <c r="B14" s="224">
        <v>9990123000</v>
      </c>
      <c r="C14" s="224" t="s">
        <v>66</v>
      </c>
      <c r="D14" s="49" t="s">
        <v>1</v>
      </c>
      <c r="E14" s="17">
        <f>E15</f>
        <v>3180.5</v>
      </c>
      <c r="F14" s="17">
        <f>F15</f>
        <v>3180.5</v>
      </c>
    </row>
    <row r="15" spans="1:6" ht="31.5">
      <c r="A15" s="224" t="s">
        <v>43</v>
      </c>
      <c r="B15" s="224">
        <v>9990123000</v>
      </c>
      <c r="C15" s="224">
        <v>120</v>
      </c>
      <c r="D15" s="49" t="s">
        <v>217</v>
      </c>
      <c r="E15" s="17">
        <f>'№ 6 ведом'!F630</f>
        <v>3180.5</v>
      </c>
      <c r="F15" s="17">
        <f>'№ 6 ведом'!G630</f>
        <v>3180.5</v>
      </c>
    </row>
    <row r="16" spans="1:6" ht="31.5">
      <c r="A16" s="224" t="s">
        <v>43</v>
      </c>
      <c r="B16" s="224">
        <v>9990123000</v>
      </c>
      <c r="C16" s="219" t="s">
        <v>67</v>
      </c>
      <c r="D16" s="225" t="s">
        <v>90</v>
      </c>
      <c r="E16" s="17">
        <f>E17</f>
        <v>609.79999999999995</v>
      </c>
      <c r="F16" s="17">
        <f>F17</f>
        <v>605.70000000000005</v>
      </c>
    </row>
    <row r="17" spans="1:6" ht="31.5">
      <c r="A17" s="224" t="s">
        <v>43</v>
      </c>
      <c r="B17" s="224">
        <v>9990123000</v>
      </c>
      <c r="C17" s="224">
        <v>240</v>
      </c>
      <c r="D17" s="225" t="s">
        <v>216</v>
      </c>
      <c r="E17" s="17">
        <f>'№ 6 ведом'!F632</f>
        <v>609.79999999999995</v>
      </c>
      <c r="F17" s="17">
        <f>'№ 6 ведом'!G632</f>
        <v>605.70000000000005</v>
      </c>
    </row>
    <row r="18" spans="1:6" ht="47.25">
      <c r="A18" s="224" t="s">
        <v>43</v>
      </c>
      <c r="B18" s="229">
        <v>9990155492</v>
      </c>
      <c r="C18" s="224"/>
      <c r="D18" s="225" t="s">
        <v>409</v>
      </c>
      <c r="E18" s="21">
        <f>E19</f>
        <v>44.9</v>
      </c>
      <c r="F18" s="21">
        <f t="shared" ref="F18:F19" si="2">F19</f>
        <v>29.9</v>
      </c>
    </row>
    <row r="19" spans="1:6" ht="63">
      <c r="A19" s="224" t="s">
        <v>43</v>
      </c>
      <c r="B19" s="229">
        <v>9990155492</v>
      </c>
      <c r="C19" s="224" t="s">
        <v>66</v>
      </c>
      <c r="D19" s="225" t="s">
        <v>1</v>
      </c>
      <c r="E19" s="21">
        <f>E20</f>
        <v>44.9</v>
      </c>
      <c r="F19" s="21">
        <f t="shared" si="2"/>
        <v>29.9</v>
      </c>
    </row>
    <row r="20" spans="1:6" ht="31.5">
      <c r="A20" s="224" t="s">
        <v>43</v>
      </c>
      <c r="B20" s="229">
        <v>9990155492</v>
      </c>
      <c r="C20" s="224">
        <v>120</v>
      </c>
      <c r="D20" s="225" t="s">
        <v>217</v>
      </c>
      <c r="E20" s="21">
        <f>'№ 6 ведом'!F635</f>
        <v>44.9</v>
      </c>
      <c r="F20" s="21">
        <f>'№ 6 ведом'!G635</f>
        <v>29.9</v>
      </c>
    </row>
    <row r="21" spans="1:6" ht="47.25">
      <c r="A21" s="224" t="s">
        <v>44</v>
      </c>
      <c r="B21" s="224" t="s">
        <v>64</v>
      </c>
      <c r="C21" s="224" t="s">
        <v>64</v>
      </c>
      <c r="D21" s="49" t="s">
        <v>22</v>
      </c>
      <c r="E21" s="17">
        <f>E22</f>
        <v>28830.000000000004</v>
      </c>
      <c r="F21" s="17">
        <f t="shared" ref="F21:F23" si="3">F22</f>
        <v>28713.100000000002</v>
      </c>
    </row>
    <row r="22" spans="1:6">
      <c r="A22" s="224" t="s">
        <v>44</v>
      </c>
      <c r="B22" s="224">
        <v>9900000000</v>
      </c>
      <c r="C22" s="224"/>
      <c r="D22" s="49" t="s">
        <v>100</v>
      </c>
      <c r="E22" s="17">
        <f>E23</f>
        <v>28830.000000000004</v>
      </c>
      <c r="F22" s="17">
        <f t="shared" si="3"/>
        <v>28713.100000000002</v>
      </c>
    </row>
    <row r="23" spans="1:6" ht="31.5">
      <c r="A23" s="224" t="s">
        <v>44</v>
      </c>
      <c r="B23" s="224">
        <v>9990000000</v>
      </c>
      <c r="C23" s="224"/>
      <c r="D23" s="49" t="s">
        <v>141</v>
      </c>
      <c r="E23" s="17">
        <f>E24</f>
        <v>28830.000000000004</v>
      </c>
      <c r="F23" s="17">
        <f t="shared" si="3"/>
        <v>28713.100000000002</v>
      </c>
    </row>
    <row r="24" spans="1:6" ht="31.5">
      <c r="A24" s="224" t="s">
        <v>44</v>
      </c>
      <c r="B24" s="224">
        <v>9990200000</v>
      </c>
      <c r="C24" s="24"/>
      <c r="D24" s="49" t="s">
        <v>112</v>
      </c>
      <c r="E24" s="17">
        <f>E28+E25+E35</f>
        <v>28830.000000000004</v>
      </c>
      <c r="F24" s="17">
        <f t="shared" ref="F24" si="4">F28+F25+F35</f>
        <v>28713.100000000002</v>
      </c>
    </row>
    <row r="25" spans="1:6" ht="63">
      <c r="A25" s="224" t="s">
        <v>44</v>
      </c>
      <c r="B25" s="224">
        <v>9990210510</v>
      </c>
      <c r="C25" s="224"/>
      <c r="D25" s="49" t="s">
        <v>142</v>
      </c>
      <c r="E25" s="17">
        <f t="shared" ref="E25:F26" si="5">E26</f>
        <v>733.2</v>
      </c>
      <c r="F25" s="17">
        <f t="shared" si="5"/>
        <v>733.2</v>
      </c>
    </row>
    <row r="26" spans="1:6" ht="63">
      <c r="A26" s="224" t="s">
        <v>44</v>
      </c>
      <c r="B26" s="224">
        <v>9990210510</v>
      </c>
      <c r="C26" s="224" t="s">
        <v>66</v>
      </c>
      <c r="D26" s="49" t="s">
        <v>1</v>
      </c>
      <c r="E26" s="17">
        <f t="shared" si="5"/>
        <v>733.2</v>
      </c>
      <c r="F26" s="17">
        <f t="shared" si="5"/>
        <v>733.2</v>
      </c>
    </row>
    <row r="27" spans="1:6" ht="31.5">
      <c r="A27" s="224" t="s">
        <v>44</v>
      </c>
      <c r="B27" s="224">
        <v>9990210510</v>
      </c>
      <c r="C27" s="224">
        <v>120</v>
      </c>
      <c r="D27" s="49" t="s">
        <v>217</v>
      </c>
      <c r="E27" s="17">
        <f>'№ 6 ведом'!F16</f>
        <v>733.2</v>
      </c>
      <c r="F27" s="17">
        <f>'№ 6 ведом'!G16</f>
        <v>733.2</v>
      </c>
    </row>
    <row r="28" spans="1:6" ht="47.25">
      <c r="A28" s="224" t="s">
        <v>44</v>
      </c>
      <c r="B28" s="224">
        <v>9990225000</v>
      </c>
      <c r="C28" s="224"/>
      <c r="D28" s="49" t="s">
        <v>113</v>
      </c>
      <c r="E28" s="17">
        <f>E29+E33+E31</f>
        <v>27593.9</v>
      </c>
      <c r="F28" s="17">
        <f t="shared" ref="F28" si="6">F29+F33+F31</f>
        <v>27560.9</v>
      </c>
    </row>
    <row r="29" spans="1:6" ht="63">
      <c r="A29" s="224" t="s">
        <v>44</v>
      </c>
      <c r="B29" s="224">
        <v>9990225000</v>
      </c>
      <c r="C29" s="224" t="s">
        <v>66</v>
      </c>
      <c r="D29" s="49" t="s">
        <v>1</v>
      </c>
      <c r="E29" s="17">
        <f>E30</f>
        <v>27476.2</v>
      </c>
      <c r="F29" s="17">
        <f>F30</f>
        <v>27476.2</v>
      </c>
    </row>
    <row r="30" spans="1:6" ht="31.5">
      <c r="A30" s="224" t="s">
        <v>44</v>
      </c>
      <c r="B30" s="224">
        <v>9990225000</v>
      </c>
      <c r="C30" s="224">
        <v>120</v>
      </c>
      <c r="D30" s="49" t="s">
        <v>217</v>
      </c>
      <c r="E30" s="17">
        <f>'№ 6 ведом'!F19</f>
        <v>27476.2</v>
      </c>
      <c r="F30" s="17">
        <f>'№ 6 ведом'!G19</f>
        <v>27476.2</v>
      </c>
    </row>
    <row r="31" spans="1:6" ht="31.5">
      <c r="A31" s="224" t="s">
        <v>44</v>
      </c>
      <c r="B31" s="224">
        <v>9990225000</v>
      </c>
      <c r="C31" s="219" t="s">
        <v>67</v>
      </c>
      <c r="D31" s="225" t="s">
        <v>90</v>
      </c>
      <c r="E31" s="17">
        <f>E32</f>
        <v>33</v>
      </c>
      <c r="F31" s="17">
        <f t="shared" ref="F31" si="7">F32</f>
        <v>0</v>
      </c>
    </row>
    <row r="32" spans="1:6" ht="31.5">
      <c r="A32" s="224" t="s">
        <v>44</v>
      </c>
      <c r="B32" s="224">
        <v>9990225000</v>
      </c>
      <c r="C32" s="224">
        <v>240</v>
      </c>
      <c r="D32" s="225" t="s">
        <v>216</v>
      </c>
      <c r="E32" s="17">
        <f>'№ 6 ведом'!F21</f>
        <v>33</v>
      </c>
      <c r="F32" s="17">
        <f>'№ 6 ведом'!G21</f>
        <v>0</v>
      </c>
    </row>
    <row r="33" spans="1:6">
      <c r="A33" s="224" t="s">
        <v>44</v>
      </c>
      <c r="B33" s="224">
        <v>9990225000</v>
      </c>
      <c r="C33" s="224" t="s">
        <v>68</v>
      </c>
      <c r="D33" s="49" t="s">
        <v>69</v>
      </c>
      <c r="E33" s="17">
        <f>E34</f>
        <v>84.7</v>
      </c>
      <c r="F33" s="17">
        <f>F34</f>
        <v>84.7</v>
      </c>
    </row>
    <row r="34" spans="1:6">
      <c r="A34" s="224" t="s">
        <v>44</v>
      </c>
      <c r="B34" s="224">
        <v>9990225000</v>
      </c>
      <c r="C34" s="224">
        <v>850</v>
      </c>
      <c r="D34" s="49" t="s">
        <v>95</v>
      </c>
      <c r="E34" s="17">
        <f>'№ 6 ведом'!F23</f>
        <v>84.7</v>
      </c>
      <c r="F34" s="17">
        <f>'№ 6 ведом'!G23</f>
        <v>84.7</v>
      </c>
    </row>
    <row r="35" spans="1:6" ht="47.25">
      <c r="A35" s="224" t="s">
        <v>44</v>
      </c>
      <c r="B35" s="229">
        <v>9990255492</v>
      </c>
      <c r="C35" s="224"/>
      <c r="D35" s="225" t="s">
        <v>409</v>
      </c>
      <c r="E35" s="21">
        <f>E36</f>
        <v>502.9</v>
      </c>
      <c r="F35" s="21">
        <f t="shared" ref="F35:F36" si="8">F36</f>
        <v>419</v>
      </c>
    </row>
    <row r="36" spans="1:6" ht="63">
      <c r="A36" s="224" t="s">
        <v>44</v>
      </c>
      <c r="B36" s="229">
        <v>9990255492</v>
      </c>
      <c r="C36" s="224" t="s">
        <v>66</v>
      </c>
      <c r="D36" s="225" t="s">
        <v>1</v>
      </c>
      <c r="E36" s="21">
        <f>E37</f>
        <v>502.9</v>
      </c>
      <c r="F36" s="21">
        <f t="shared" si="8"/>
        <v>419</v>
      </c>
    </row>
    <row r="37" spans="1:6" ht="31.5">
      <c r="A37" s="224" t="s">
        <v>44</v>
      </c>
      <c r="B37" s="229">
        <v>9990255492</v>
      </c>
      <c r="C37" s="224">
        <v>120</v>
      </c>
      <c r="D37" s="225" t="s">
        <v>217</v>
      </c>
      <c r="E37" s="21">
        <f>'№ 6 ведом'!F26</f>
        <v>502.9</v>
      </c>
      <c r="F37" s="21">
        <f>'№ 6 ведом'!G26</f>
        <v>419</v>
      </c>
    </row>
    <row r="38" spans="1:6">
      <c r="A38" s="9" t="s">
        <v>148</v>
      </c>
      <c r="B38" s="10"/>
      <c r="C38" s="12"/>
      <c r="D38" s="42" t="s">
        <v>149</v>
      </c>
      <c r="E38" s="17">
        <f>E39</f>
        <v>4.6000000000000014</v>
      </c>
      <c r="F38" s="17">
        <f t="shared" ref="F38:F42" si="9">F39</f>
        <v>4.5999999999999996</v>
      </c>
    </row>
    <row r="39" spans="1:6">
      <c r="A39" s="9" t="s">
        <v>148</v>
      </c>
      <c r="B39" s="224">
        <v>9900000000</v>
      </c>
      <c r="C39" s="224"/>
      <c r="D39" s="49" t="s">
        <v>100</v>
      </c>
      <c r="E39" s="17">
        <f>E40</f>
        <v>4.6000000000000014</v>
      </c>
      <c r="F39" s="17">
        <f t="shared" si="9"/>
        <v>4.5999999999999996</v>
      </c>
    </row>
    <row r="40" spans="1:6" ht="31.5">
      <c r="A40" s="9" t="s">
        <v>148</v>
      </c>
      <c r="B40" s="224">
        <v>9930000000</v>
      </c>
      <c r="C40" s="224"/>
      <c r="D40" s="49" t="s">
        <v>150</v>
      </c>
      <c r="E40" s="17">
        <f>E41</f>
        <v>4.6000000000000014</v>
      </c>
      <c r="F40" s="17">
        <f t="shared" si="9"/>
        <v>4.5999999999999996</v>
      </c>
    </row>
    <row r="41" spans="1:6" ht="47.25">
      <c r="A41" s="9" t="s">
        <v>148</v>
      </c>
      <c r="B41" s="224">
        <v>9930051200</v>
      </c>
      <c r="C41" s="224"/>
      <c r="D41" s="49" t="s">
        <v>151</v>
      </c>
      <c r="E41" s="17">
        <f>E42</f>
        <v>4.6000000000000014</v>
      </c>
      <c r="F41" s="17">
        <f t="shared" si="9"/>
        <v>4.5999999999999996</v>
      </c>
    </row>
    <row r="42" spans="1:6" ht="31.5">
      <c r="A42" s="9" t="s">
        <v>148</v>
      </c>
      <c r="B42" s="224">
        <v>9930051200</v>
      </c>
      <c r="C42" s="224" t="s">
        <v>67</v>
      </c>
      <c r="D42" s="49" t="s">
        <v>90</v>
      </c>
      <c r="E42" s="17">
        <f>E43</f>
        <v>4.6000000000000014</v>
      </c>
      <c r="F42" s="17">
        <f t="shared" si="9"/>
        <v>4.5999999999999996</v>
      </c>
    </row>
    <row r="43" spans="1:6" ht="31.5">
      <c r="A43" s="9" t="s">
        <v>148</v>
      </c>
      <c r="B43" s="224">
        <v>9930051200</v>
      </c>
      <c r="C43" s="224">
        <v>240</v>
      </c>
      <c r="D43" s="49" t="s">
        <v>216</v>
      </c>
      <c r="E43" s="17">
        <f>'№ 6 ведом'!F32</f>
        <v>4.6000000000000014</v>
      </c>
      <c r="F43" s="17">
        <f>'№ 6 ведом'!G32</f>
        <v>4.5999999999999996</v>
      </c>
    </row>
    <row r="44" spans="1:6" ht="31.5">
      <c r="A44" s="224" t="s">
        <v>45</v>
      </c>
      <c r="B44" s="224" t="s">
        <v>64</v>
      </c>
      <c r="C44" s="224" t="s">
        <v>64</v>
      </c>
      <c r="D44" s="49" t="s">
        <v>7</v>
      </c>
      <c r="E44" s="17">
        <f>E45</f>
        <v>9094.7000000000007</v>
      </c>
      <c r="F44" s="17">
        <f t="shared" ref="F44:F46" si="10">F45</f>
        <v>9079.7000000000007</v>
      </c>
    </row>
    <row r="45" spans="1:6">
      <c r="A45" s="224" t="s">
        <v>45</v>
      </c>
      <c r="B45" s="224">
        <v>9900000000</v>
      </c>
      <c r="C45" s="224"/>
      <c r="D45" s="49" t="s">
        <v>100</v>
      </c>
      <c r="E45" s="17">
        <f>E46</f>
        <v>9094.7000000000007</v>
      </c>
      <c r="F45" s="17">
        <f t="shared" si="10"/>
        <v>9079.7000000000007</v>
      </c>
    </row>
    <row r="46" spans="1:6" ht="31.5">
      <c r="A46" s="224" t="s">
        <v>45</v>
      </c>
      <c r="B46" s="224">
        <v>9990000000</v>
      </c>
      <c r="C46" s="224"/>
      <c r="D46" s="49" t="s">
        <v>141</v>
      </c>
      <c r="E46" s="17">
        <f>E47</f>
        <v>9094.7000000000007</v>
      </c>
      <c r="F46" s="17">
        <f t="shared" si="10"/>
        <v>9079.7000000000007</v>
      </c>
    </row>
    <row r="47" spans="1:6" ht="31.5">
      <c r="A47" s="224" t="s">
        <v>45</v>
      </c>
      <c r="B47" s="224">
        <v>9990200000</v>
      </c>
      <c r="C47" s="24"/>
      <c r="D47" s="49" t="s">
        <v>112</v>
      </c>
      <c r="E47" s="17">
        <f>E48+E53</f>
        <v>9094.7000000000007</v>
      </c>
      <c r="F47" s="17">
        <f t="shared" ref="F47" si="11">F48+F53</f>
        <v>9079.7000000000007</v>
      </c>
    </row>
    <row r="48" spans="1:6" ht="47.25">
      <c r="A48" s="224" t="s">
        <v>45</v>
      </c>
      <c r="B48" s="224">
        <v>9990225000</v>
      </c>
      <c r="C48" s="224"/>
      <c r="D48" s="49" t="s">
        <v>113</v>
      </c>
      <c r="E48" s="17">
        <f>E49+E51</f>
        <v>8930.1</v>
      </c>
      <c r="F48" s="17">
        <f>F49+F51</f>
        <v>8930.1</v>
      </c>
    </row>
    <row r="49" spans="1:6" ht="63">
      <c r="A49" s="224" t="s">
        <v>45</v>
      </c>
      <c r="B49" s="224">
        <v>9990225000</v>
      </c>
      <c r="C49" s="224" t="s">
        <v>66</v>
      </c>
      <c r="D49" s="49" t="s">
        <v>1</v>
      </c>
      <c r="E49" s="17">
        <f>E50</f>
        <v>8864.7000000000007</v>
      </c>
      <c r="F49" s="17">
        <f>F50</f>
        <v>8864.7000000000007</v>
      </c>
    </row>
    <row r="50" spans="1:6" ht="31.5">
      <c r="A50" s="224" t="s">
        <v>45</v>
      </c>
      <c r="B50" s="224">
        <v>9990225000</v>
      </c>
      <c r="C50" s="224">
        <v>120</v>
      </c>
      <c r="D50" s="49" t="s">
        <v>217</v>
      </c>
      <c r="E50" s="17">
        <f>'№ 6 ведом'!F549</f>
        <v>8864.7000000000007</v>
      </c>
      <c r="F50" s="17">
        <f>'№ 6 ведом'!G549</f>
        <v>8864.7000000000007</v>
      </c>
    </row>
    <row r="51" spans="1:6">
      <c r="A51" s="224" t="s">
        <v>45</v>
      </c>
      <c r="B51" s="224">
        <v>9990225000</v>
      </c>
      <c r="C51" s="224" t="s">
        <v>68</v>
      </c>
      <c r="D51" s="49" t="s">
        <v>69</v>
      </c>
      <c r="E51" s="17">
        <f>E52</f>
        <v>65.400000000000006</v>
      </c>
      <c r="F51" s="17">
        <f>F52</f>
        <v>65.400000000000006</v>
      </c>
    </row>
    <row r="52" spans="1:6">
      <c r="A52" s="224" t="s">
        <v>45</v>
      </c>
      <c r="B52" s="224">
        <v>9990225000</v>
      </c>
      <c r="C52" s="224">
        <v>850</v>
      </c>
      <c r="D52" s="49" t="s">
        <v>95</v>
      </c>
      <c r="E52" s="17">
        <f>'№ 6 ведом'!F551</f>
        <v>65.400000000000006</v>
      </c>
      <c r="F52" s="17">
        <f>'№ 6 ведом'!G551</f>
        <v>65.400000000000006</v>
      </c>
    </row>
    <row r="53" spans="1:6" ht="47.25">
      <c r="A53" s="224" t="s">
        <v>45</v>
      </c>
      <c r="B53" s="229">
        <v>9990255492</v>
      </c>
      <c r="C53" s="224"/>
      <c r="D53" s="225" t="s">
        <v>409</v>
      </c>
      <c r="E53" s="21">
        <f>E54</f>
        <v>164.6</v>
      </c>
      <c r="F53" s="21">
        <f t="shared" ref="F53:F54" si="12">F54</f>
        <v>149.6</v>
      </c>
    </row>
    <row r="54" spans="1:6" ht="63">
      <c r="A54" s="224" t="s">
        <v>45</v>
      </c>
      <c r="B54" s="229">
        <v>9990255492</v>
      </c>
      <c r="C54" s="224" t="s">
        <v>66</v>
      </c>
      <c r="D54" s="225" t="s">
        <v>1</v>
      </c>
      <c r="E54" s="21">
        <f>E55</f>
        <v>164.6</v>
      </c>
      <c r="F54" s="21">
        <f t="shared" si="12"/>
        <v>149.6</v>
      </c>
    </row>
    <row r="55" spans="1:6" ht="31.5">
      <c r="A55" s="224" t="s">
        <v>45</v>
      </c>
      <c r="B55" s="229">
        <v>9990255492</v>
      </c>
      <c r="C55" s="224">
        <v>120</v>
      </c>
      <c r="D55" s="225" t="s">
        <v>217</v>
      </c>
      <c r="E55" s="21">
        <f>'№ 6 ведом'!F554</f>
        <v>164.6</v>
      </c>
      <c r="F55" s="21">
        <f>'№ 6 ведом'!G554</f>
        <v>149.6</v>
      </c>
    </row>
    <row r="56" spans="1:6">
      <c r="A56" s="22" t="s">
        <v>207</v>
      </c>
      <c r="B56" s="224"/>
      <c r="C56" s="224"/>
      <c r="D56" s="227" t="s">
        <v>208</v>
      </c>
      <c r="E56" s="17">
        <f t="shared" ref="E56:E61" si="13">E57</f>
        <v>88.6</v>
      </c>
      <c r="F56" s="17">
        <f t="shared" ref="F56:F61" si="14">F57</f>
        <v>88.6</v>
      </c>
    </row>
    <row r="57" spans="1:6" ht="47.25">
      <c r="A57" s="9" t="s">
        <v>207</v>
      </c>
      <c r="B57" s="219">
        <v>2200000000</v>
      </c>
      <c r="C57" s="224"/>
      <c r="D57" s="225" t="s">
        <v>311</v>
      </c>
      <c r="E57" s="17">
        <f t="shared" si="13"/>
        <v>88.6</v>
      </c>
      <c r="F57" s="17">
        <f t="shared" si="14"/>
        <v>88.6</v>
      </c>
    </row>
    <row r="58" spans="1:6" ht="31.5">
      <c r="A58" s="9" t="s">
        <v>207</v>
      </c>
      <c r="B58" s="224">
        <v>2240000000</v>
      </c>
      <c r="C58" s="224"/>
      <c r="D58" s="225" t="s">
        <v>127</v>
      </c>
      <c r="E58" s="17">
        <f t="shared" si="13"/>
        <v>88.6</v>
      </c>
      <c r="F58" s="17">
        <f t="shared" si="14"/>
        <v>88.6</v>
      </c>
    </row>
    <row r="59" spans="1:6" ht="31.5">
      <c r="A59" s="22" t="s">
        <v>207</v>
      </c>
      <c r="B59" s="224">
        <v>2240500000</v>
      </c>
      <c r="C59" s="224"/>
      <c r="D59" s="225" t="s">
        <v>128</v>
      </c>
      <c r="E59" s="17">
        <f t="shared" si="13"/>
        <v>88.6</v>
      </c>
      <c r="F59" s="17">
        <f t="shared" si="14"/>
        <v>88.6</v>
      </c>
    </row>
    <row r="60" spans="1:6" ht="31.5">
      <c r="A60" s="9" t="s">
        <v>207</v>
      </c>
      <c r="B60" s="224">
        <v>2240520410</v>
      </c>
      <c r="C60" s="224"/>
      <c r="D60" s="225" t="s">
        <v>196</v>
      </c>
      <c r="E60" s="17">
        <f t="shared" si="13"/>
        <v>88.6</v>
      </c>
      <c r="F60" s="17">
        <f t="shared" si="14"/>
        <v>88.6</v>
      </c>
    </row>
    <row r="61" spans="1:6">
      <c r="A61" s="9" t="s">
        <v>207</v>
      </c>
      <c r="B61" s="224">
        <v>2240520410</v>
      </c>
      <c r="C61" s="224" t="s">
        <v>68</v>
      </c>
      <c r="D61" s="225" t="s">
        <v>69</v>
      </c>
      <c r="E61" s="17">
        <f t="shared" si="13"/>
        <v>88.6</v>
      </c>
      <c r="F61" s="17">
        <f t="shared" si="14"/>
        <v>88.6</v>
      </c>
    </row>
    <row r="62" spans="1:6" ht="31.5">
      <c r="A62" s="9" t="s">
        <v>207</v>
      </c>
      <c r="B62" s="224">
        <v>2240520410</v>
      </c>
      <c r="C62" s="224">
        <v>860</v>
      </c>
      <c r="D62" s="225" t="s">
        <v>219</v>
      </c>
      <c r="E62" s="17">
        <f>'№ 6 ведом'!F39</f>
        <v>88.6</v>
      </c>
      <c r="F62" s="17">
        <f>'№ 6 ведом'!G39</f>
        <v>88.6</v>
      </c>
    </row>
    <row r="63" spans="1:6">
      <c r="A63" s="224" t="s">
        <v>46</v>
      </c>
      <c r="B63" s="224"/>
      <c r="C63" s="224"/>
      <c r="D63" s="49" t="s">
        <v>8</v>
      </c>
      <c r="E63" s="17">
        <f>E64</f>
        <v>2827.1</v>
      </c>
      <c r="F63" s="17">
        <f t="shared" ref="F63:F67" si="15">F64</f>
        <v>0</v>
      </c>
    </row>
    <row r="64" spans="1:6">
      <c r="A64" s="224" t="s">
        <v>46</v>
      </c>
      <c r="B64" s="224">
        <v>9900000000</v>
      </c>
      <c r="C64" s="224"/>
      <c r="D64" s="49" t="s">
        <v>100</v>
      </c>
      <c r="E64" s="17">
        <f>E65</f>
        <v>2827.1</v>
      </c>
      <c r="F64" s="17">
        <f t="shared" si="15"/>
        <v>0</v>
      </c>
    </row>
    <row r="65" spans="1:6">
      <c r="A65" s="224" t="s">
        <v>46</v>
      </c>
      <c r="B65" s="224">
        <v>9910000000</v>
      </c>
      <c r="C65" s="224"/>
      <c r="D65" s="49" t="s">
        <v>8</v>
      </c>
      <c r="E65" s="17">
        <f>E66</f>
        <v>2827.1</v>
      </c>
      <c r="F65" s="17">
        <f t="shared" si="15"/>
        <v>0</v>
      </c>
    </row>
    <row r="66" spans="1:6">
      <c r="A66" s="224" t="s">
        <v>46</v>
      </c>
      <c r="B66" s="224">
        <v>9910020000</v>
      </c>
      <c r="C66" s="224"/>
      <c r="D66" s="225" t="s">
        <v>276</v>
      </c>
      <c r="E66" s="17">
        <f>E67</f>
        <v>2827.1</v>
      </c>
      <c r="F66" s="17">
        <f t="shared" si="15"/>
        <v>0</v>
      </c>
    </row>
    <row r="67" spans="1:6">
      <c r="A67" s="224" t="s">
        <v>46</v>
      </c>
      <c r="B67" s="224">
        <v>9910020000</v>
      </c>
      <c r="C67" s="219" t="s">
        <v>68</v>
      </c>
      <c r="D67" s="225" t="s">
        <v>69</v>
      </c>
      <c r="E67" s="17">
        <f>E68</f>
        <v>2827.1</v>
      </c>
      <c r="F67" s="17">
        <f t="shared" si="15"/>
        <v>0</v>
      </c>
    </row>
    <row r="68" spans="1:6">
      <c r="A68" s="224" t="s">
        <v>46</v>
      </c>
      <c r="B68" s="224">
        <v>9910020000</v>
      </c>
      <c r="C68" s="2" t="s">
        <v>155</v>
      </c>
      <c r="D68" s="47" t="s">
        <v>156</v>
      </c>
      <c r="E68" s="17">
        <f>'№ 6 ведом'!F560</f>
        <v>2827.1</v>
      </c>
      <c r="F68" s="17">
        <f>'№ 6 ведом'!G560</f>
        <v>0</v>
      </c>
    </row>
    <row r="69" spans="1:6">
      <c r="A69" s="226" t="s">
        <v>58</v>
      </c>
      <c r="B69" s="226" t="s">
        <v>64</v>
      </c>
      <c r="C69" s="226" t="s">
        <v>64</v>
      </c>
      <c r="D69" s="227" t="s">
        <v>23</v>
      </c>
      <c r="E69" s="7">
        <f>E70+E86+E107+E137</f>
        <v>45448</v>
      </c>
      <c r="F69" s="7">
        <f>F70+F86+F107+F137</f>
        <v>41383.200000000004</v>
      </c>
    </row>
    <row r="70" spans="1:6" ht="47.25">
      <c r="A70" s="224" t="s">
        <v>58</v>
      </c>
      <c r="B70" s="219">
        <v>2200000000</v>
      </c>
      <c r="C70" s="224"/>
      <c r="D70" s="49" t="s">
        <v>311</v>
      </c>
      <c r="E70" s="17">
        <f>E71</f>
        <v>831.19999999999993</v>
      </c>
      <c r="F70" s="17">
        <f>F71</f>
        <v>830.6</v>
      </c>
    </row>
    <row r="71" spans="1:6" ht="31.5">
      <c r="A71" s="224" t="s">
        <v>58</v>
      </c>
      <c r="B71" s="224">
        <v>2240000000</v>
      </c>
      <c r="C71" s="224"/>
      <c r="D71" s="49" t="s">
        <v>127</v>
      </c>
      <c r="E71" s="17">
        <f>E72+E79</f>
        <v>831.19999999999993</v>
      </c>
      <c r="F71" s="17">
        <f>F72+F79</f>
        <v>830.6</v>
      </c>
    </row>
    <row r="72" spans="1:6" ht="31.5">
      <c r="A72" s="224" t="s">
        <v>58</v>
      </c>
      <c r="B72" s="224">
        <v>2240200000</v>
      </c>
      <c r="C72" s="224"/>
      <c r="D72" s="49" t="s">
        <v>139</v>
      </c>
      <c r="E72" s="17">
        <f>E73+E76</f>
        <v>80.599999999999994</v>
      </c>
      <c r="F72" s="17">
        <f>F73+F76</f>
        <v>80.5</v>
      </c>
    </row>
    <row r="73" spans="1:6">
      <c r="A73" s="224" t="s">
        <v>58</v>
      </c>
      <c r="B73" s="224">
        <v>2240220340</v>
      </c>
      <c r="C73" s="224"/>
      <c r="D73" s="49" t="s">
        <v>143</v>
      </c>
      <c r="E73" s="17">
        <f>E74</f>
        <v>74</v>
      </c>
      <c r="F73" s="17">
        <f>F74</f>
        <v>74</v>
      </c>
    </row>
    <row r="74" spans="1:6" ht="31.5">
      <c r="A74" s="224" t="s">
        <v>58</v>
      </c>
      <c r="B74" s="224">
        <v>2240220340</v>
      </c>
      <c r="C74" s="219" t="s">
        <v>67</v>
      </c>
      <c r="D74" s="225" t="s">
        <v>90</v>
      </c>
      <c r="E74" s="17">
        <f>E75</f>
        <v>74</v>
      </c>
      <c r="F74" s="17">
        <f>F75</f>
        <v>74</v>
      </c>
    </row>
    <row r="75" spans="1:6" ht="31.5">
      <c r="A75" s="224" t="s">
        <v>58</v>
      </c>
      <c r="B75" s="224">
        <v>2240220340</v>
      </c>
      <c r="C75" s="224">
        <v>240</v>
      </c>
      <c r="D75" s="49" t="s">
        <v>216</v>
      </c>
      <c r="E75" s="17">
        <f>'№ 6 ведом'!F46</f>
        <v>74</v>
      </c>
      <c r="F75" s="17">
        <f>'№ 6 ведом'!G46</f>
        <v>74</v>
      </c>
    </row>
    <row r="76" spans="1:6" ht="31.5">
      <c r="A76" s="224" t="s">
        <v>58</v>
      </c>
      <c r="B76" s="224">
        <v>2240220360</v>
      </c>
      <c r="C76" s="224"/>
      <c r="D76" s="47" t="s">
        <v>220</v>
      </c>
      <c r="E76" s="17">
        <f t="shared" ref="E76:F77" si="16">E77</f>
        <v>6.6</v>
      </c>
      <c r="F76" s="17">
        <f t="shared" si="16"/>
        <v>6.5</v>
      </c>
    </row>
    <row r="77" spans="1:6">
      <c r="A77" s="224" t="s">
        <v>58</v>
      </c>
      <c r="B77" s="224">
        <v>2240220360</v>
      </c>
      <c r="C77" s="219" t="s">
        <v>71</v>
      </c>
      <c r="D77" s="225" t="s">
        <v>72</v>
      </c>
      <c r="E77" s="17">
        <f t="shared" si="16"/>
        <v>6.6</v>
      </c>
      <c r="F77" s="17">
        <f t="shared" si="16"/>
        <v>6.5</v>
      </c>
    </row>
    <row r="78" spans="1:6">
      <c r="A78" s="224" t="s">
        <v>58</v>
      </c>
      <c r="B78" s="224">
        <v>2240220360</v>
      </c>
      <c r="C78" s="224">
        <v>350</v>
      </c>
      <c r="D78" s="47" t="s">
        <v>144</v>
      </c>
      <c r="E78" s="17">
        <f>'№ 6 ведом'!F49</f>
        <v>6.6</v>
      </c>
      <c r="F78" s="17">
        <f>'№ 6 ведом'!G49</f>
        <v>6.5</v>
      </c>
    </row>
    <row r="79" spans="1:6" ht="31.5">
      <c r="A79" s="224" t="s">
        <v>58</v>
      </c>
      <c r="B79" s="224">
        <v>2240500000</v>
      </c>
      <c r="C79" s="224"/>
      <c r="D79" s="49" t="s">
        <v>128</v>
      </c>
      <c r="E79" s="17">
        <f>E80+E83</f>
        <v>750.59999999999991</v>
      </c>
      <c r="F79" s="17">
        <f>F80+F83</f>
        <v>750.1</v>
      </c>
    </row>
    <row r="80" spans="1:6" ht="31.5">
      <c r="A80" s="224" t="s">
        <v>58</v>
      </c>
      <c r="B80" s="224">
        <v>2240520410</v>
      </c>
      <c r="C80" s="224"/>
      <c r="D80" s="49" t="s">
        <v>196</v>
      </c>
      <c r="E80" s="17">
        <f t="shared" ref="E80:F81" si="17">E81</f>
        <v>126.8</v>
      </c>
      <c r="F80" s="17">
        <f t="shared" si="17"/>
        <v>126.5</v>
      </c>
    </row>
    <row r="81" spans="1:6">
      <c r="A81" s="224" t="s">
        <v>58</v>
      </c>
      <c r="B81" s="224">
        <v>2240520410</v>
      </c>
      <c r="C81" s="224" t="s">
        <v>68</v>
      </c>
      <c r="D81" s="49" t="s">
        <v>69</v>
      </c>
      <c r="E81" s="17">
        <f t="shared" si="17"/>
        <v>126.8</v>
      </c>
      <c r="F81" s="17">
        <f t="shared" si="17"/>
        <v>126.5</v>
      </c>
    </row>
    <row r="82" spans="1:6">
      <c r="A82" s="224" t="s">
        <v>58</v>
      </c>
      <c r="B82" s="224">
        <v>2240520410</v>
      </c>
      <c r="C82" s="224">
        <v>850</v>
      </c>
      <c r="D82" s="49" t="s">
        <v>95</v>
      </c>
      <c r="E82" s="17">
        <f>'№ 6 ведом'!F53</f>
        <v>126.8</v>
      </c>
      <c r="F82" s="17">
        <f>'№ 6 ведом'!G53</f>
        <v>126.5</v>
      </c>
    </row>
    <row r="83" spans="1:6" ht="31.5">
      <c r="A83" s="224" t="s">
        <v>58</v>
      </c>
      <c r="B83" s="224">
        <v>2240520460</v>
      </c>
      <c r="C83" s="224"/>
      <c r="D83" s="49" t="s">
        <v>210</v>
      </c>
      <c r="E83" s="17">
        <f t="shared" ref="E83:F84" si="18">E84</f>
        <v>623.79999999999995</v>
      </c>
      <c r="F83" s="17">
        <f t="shared" si="18"/>
        <v>623.6</v>
      </c>
    </row>
    <row r="84" spans="1:6" ht="31.5">
      <c r="A84" s="224" t="s">
        <v>58</v>
      </c>
      <c r="B84" s="224">
        <v>2240520460</v>
      </c>
      <c r="C84" s="219" t="s">
        <v>67</v>
      </c>
      <c r="D84" s="225" t="s">
        <v>90</v>
      </c>
      <c r="E84" s="17">
        <f t="shared" si="18"/>
        <v>623.79999999999995</v>
      </c>
      <c r="F84" s="17">
        <f t="shared" si="18"/>
        <v>623.6</v>
      </c>
    </row>
    <row r="85" spans="1:6" ht="31.5">
      <c r="A85" s="224" t="s">
        <v>58</v>
      </c>
      <c r="B85" s="224">
        <v>2240520460</v>
      </c>
      <c r="C85" s="224">
        <v>240</v>
      </c>
      <c r="D85" s="49" t="s">
        <v>216</v>
      </c>
      <c r="E85" s="17">
        <f>'№ 6 ведом'!F56</f>
        <v>623.79999999999995</v>
      </c>
      <c r="F85" s="17">
        <f>'№ 6 ведом'!G56</f>
        <v>623.6</v>
      </c>
    </row>
    <row r="86" spans="1:6" ht="31.5">
      <c r="A86" s="224" t="s">
        <v>58</v>
      </c>
      <c r="B86" s="219">
        <v>2500000000</v>
      </c>
      <c r="C86" s="224"/>
      <c r="D86" s="49" t="s">
        <v>312</v>
      </c>
      <c r="E86" s="17">
        <f>E87+E92+E97+E103</f>
        <v>1476.8</v>
      </c>
      <c r="F86" s="17">
        <f>F87+F92+F97+F103</f>
        <v>1284.7</v>
      </c>
    </row>
    <row r="87" spans="1:6">
      <c r="A87" s="224" t="s">
        <v>58</v>
      </c>
      <c r="B87" s="224">
        <v>2510000000</v>
      </c>
      <c r="C87" s="224"/>
      <c r="D87" s="49" t="s">
        <v>146</v>
      </c>
      <c r="E87" s="17">
        <f>E88</f>
        <v>110.5</v>
      </c>
      <c r="F87" s="17">
        <f t="shared" ref="F87" si="19">F88</f>
        <v>110.4</v>
      </c>
    </row>
    <row r="88" spans="1:6" ht="47.25">
      <c r="A88" s="224" t="s">
        <v>58</v>
      </c>
      <c r="B88" s="224">
        <v>2510200000</v>
      </c>
      <c r="C88" s="224"/>
      <c r="D88" s="49" t="s">
        <v>168</v>
      </c>
      <c r="E88" s="17">
        <f>E89</f>
        <v>110.5</v>
      </c>
      <c r="F88" s="17">
        <f t="shared" ref="F88:F90" si="20">F89</f>
        <v>110.4</v>
      </c>
    </row>
    <row r="89" spans="1:6" ht="31.5">
      <c r="A89" s="224" t="s">
        <v>58</v>
      </c>
      <c r="B89" s="224">
        <v>2510220170</v>
      </c>
      <c r="C89" s="224"/>
      <c r="D89" s="49" t="s">
        <v>169</v>
      </c>
      <c r="E89" s="17">
        <f>E90</f>
        <v>110.5</v>
      </c>
      <c r="F89" s="17">
        <f t="shared" si="20"/>
        <v>110.4</v>
      </c>
    </row>
    <row r="90" spans="1:6" ht="63">
      <c r="A90" s="224" t="s">
        <v>58</v>
      </c>
      <c r="B90" s="224">
        <v>2510220170</v>
      </c>
      <c r="C90" s="224" t="s">
        <v>66</v>
      </c>
      <c r="D90" s="225" t="s">
        <v>1</v>
      </c>
      <c r="E90" s="17">
        <f>E91</f>
        <v>110.5</v>
      </c>
      <c r="F90" s="17">
        <f t="shared" si="20"/>
        <v>110.4</v>
      </c>
    </row>
    <row r="91" spans="1:6" ht="31.5">
      <c r="A91" s="224" t="s">
        <v>58</v>
      </c>
      <c r="B91" s="224">
        <v>2510220170</v>
      </c>
      <c r="C91" s="224">
        <v>120</v>
      </c>
      <c r="D91" s="225" t="s">
        <v>217</v>
      </c>
      <c r="E91" s="17">
        <f>'№ 6 ведом'!F62</f>
        <v>110.5</v>
      </c>
      <c r="F91" s="17">
        <f>'№ 6 ведом'!G62</f>
        <v>110.4</v>
      </c>
    </row>
    <row r="92" spans="1:6" ht="31.5">
      <c r="A92" s="224" t="s">
        <v>58</v>
      </c>
      <c r="B92" s="219">
        <v>2520000000</v>
      </c>
      <c r="C92" s="224"/>
      <c r="D92" s="56" t="s">
        <v>227</v>
      </c>
      <c r="E92" s="17">
        <f>E93</f>
        <v>82.5</v>
      </c>
      <c r="F92" s="17">
        <f t="shared" ref="F92" si="21">F93</f>
        <v>73.900000000000006</v>
      </c>
    </row>
    <row r="93" spans="1:6" ht="31.5">
      <c r="A93" s="224" t="s">
        <v>58</v>
      </c>
      <c r="B93" s="219">
        <v>2520400000</v>
      </c>
      <c r="C93" s="224"/>
      <c r="D93" s="56" t="s">
        <v>330</v>
      </c>
      <c r="E93" s="17">
        <f>E94</f>
        <v>82.5</v>
      </c>
      <c r="F93" s="17">
        <f t="shared" ref="F93:F95" si="22">F94</f>
        <v>73.900000000000006</v>
      </c>
    </row>
    <row r="94" spans="1:6">
      <c r="A94" s="224" t="s">
        <v>58</v>
      </c>
      <c r="B94" s="219">
        <v>2520420300</v>
      </c>
      <c r="C94" s="224"/>
      <c r="D94" s="56" t="s">
        <v>331</v>
      </c>
      <c r="E94" s="17">
        <f>E95</f>
        <v>82.5</v>
      </c>
      <c r="F94" s="17">
        <f t="shared" si="22"/>
        <v>73.900000000000006</v>
      </c>
    </row>
    <row r="95" spans="1:6" ht="31.5">
      <c r="A95" s="224" t="s">
        <v>58</v>
      </c>
      <c r="B95" s="219">
        <v>2520420300</v>
      </c>
      <c r="C95" s="219" t="s">
        <v>67</v>
      </c>
      <c r="D95" s="225" t="s">
        <v>90</v>
      </c>
      <c r="E95" s="17">
        <f>E96</f>
        <v>82.5</v>
      </c>
      <c r="F95" s="17">
        <f t="shared" si="22"/>
        <v>73.900000000000006</v>
      </c>
    </row>
    <row r="96" spans="1:6" ht="31.5">
      <c r="A96" s="224" t="s">
        <v>58</v>
      </c>
      <c r="B96" s="219">
        <v>2520420300</v>
      </c>
      <c r="C96" s="224">
        <v>240</v>
      </c>
      <c r="D96" s="225" t="s">
        <v>216</v>
      </c>
      <c r="E96" s="17">
        <f>'№ 6 ведом'!F67</f>
        <v>82.5</v>
      </c>
      <c r="F96" s="17">
        <f>'№ 6 ведом'!G67</f>
        <v>73.900000000000006</v>
      </c>
    </row>
    <row r="97" spans="1:6" ht="31.5">
      <c r="A97" s="224" t="s">
        <v>58</v>
      </c>
      <c r="B97" s="219">
        <v>2520500000</v>
      </c>
      <c r="C97" s="224"/>
      <c r="D97" s="225" t="s">
        <v>341</v>
      </c>
      <c r="E97" s="17">
        <f>E98</f>
        <v>173.8</v>
      </c>
      <c r="F97" s="17">
        <f t="shared" ref="F97:F101" si="23">F98</f>
        <v>135.70000000000002</v>
      </c>
    </row>
    <row r="98" spans="1:6">
      <c r="A98" s="224" t="s">
        <v>58</v>
      </c>
      <c r="B98" s="219">
        <v>2520520300</v>
      </c>
      <c r="C98" s="224"/>
      <c r="D98" s="225" t="s">
        <v>342</v>
      </c>
      <c r="E98" s="17">
        <f>E101+E99</f>
        <v>173.8</v>
      </c>
      <c r="F98" s="17">
        <f t="shared" ref="F98" si="24">F101+F99</f>
        <v>135.70000000000002</v>
      </c>
    </row>
    <row r="99" spans="1:6" ht="63">
      <c r="A99" s="224" t="s">
        <v>58</v>
      </c>
      <c r="B99" s="219">
        <v>2520520300</v>
      </c>
      <c r="C99" s="224" t="s">
        <v>66</v>
      </c>
      <c r="D99" s="225" t="s">
        <v>1</v>
      </c>
      <c r="E99" s="17">
        <f>E100</f>
        <v>6.4</v>
      </c>
      <c r="F99" s="17">
        <f t="shared" ref="F99" si="25">F100</f>
        <v>6.4</v>
      </c>
    </row>
    <row r="100" spans="1:6">
      <c r="A100" s="224" t="s">
        <v>58</v>
      </c>
      <c r="B100" s="219">
        <v>2520520300</v>
      </c>
      <c r="C100" s="224">
        <v>110</v>
      </c>
      <c r="D100" s="47" t="s">
        <v>153</v>
      </c>
      <c r="E100" s="17">
        <f>'№ 6 ведом'!F71</f>
        <v>6.4</v>
      </c>
      <c r="F100" s="17">
        <f>'№ 6 ведом'!G71</f>
        <v>6.4</v>
      </c>
    </row>
    <row r="101" spans="1:6" ht="31.5">
      <c r="A101" s="224" t="s">
        <v>58</v>
      </c>
      <c r="B101" s="219">
        <v>2520520300</v>
      </c>
      <c r="C101" s="219" t="s">
        <v>67</v>
      </c>
      <c r="D101" s="225" t="s">
        <v>90</v>
      </c>
      <c r="E101" s="17">
        <f>E102</f>
        <v>167.4</v>
      </c>
      <c r="F101" s="17">
        <f t="shared" si="23"/>
        <v>129.30000000000001</v>
      </c>
    </row>
    <row r="102" spans="1:6" ht="31.5">
      <c r="A102" s="224" t="s">
        <v>58</v>
      </c>
      <c r="B102" s="219">
        <v>2520520300</v>
      </c>
      <c r="C102" s="224">
        <v>240</v>
      </c>
      <c r="D102" s="225" t="s">
        <v>216</v>
      </c>
      <c r="E102" s="17">
        <f>'№ 6 ведом'!F73</f>
        <v>167.4</v>
      </c>
      <c r="F102" s="17">
        <f>'№ 6 ведом'!G73</f>
        <v>129.30000000000001</v>
      </c>
    </row>
    <row r="103" spans="1:6" ht="31.5">
      <c r="A103" s="224" t="s">
        <v>58</v>
      </c>
      <c r="B103" s="219">
        <v>2520600000</v>
      </c>
      <c r="C103" s="224"/>
      <c r="D103" s="225" t="s">
        <v>340</v>
      </c>
      <c r="E103" s="17">
        <f>E104</f>
        <v>1110</v>
      </c>
      <c r="F103" s="17">
        <f t="shared" ref="F103:F105" si="26">F104</f>
        <v>964.7</v>
      </c>
    </row>
    <row r="104" spans="1:6">
      <c r="A104" s="224" t="s">
        <v>58</v>
      </c>
      <c r="B104" s="219">
        <v>2520620200</v>
      </c>
      <c r="C104" s="224"/>
      <c r="D104" s="225" t="s">
        <v>275</v>
      </c>
      <c r="E104" s="17">
        <f>E105</f>
        <v>1110</v>
      </c>
      <c r="F104" s="17">
        <f t="shared" si="26"/>
        <v>964.7</v>
      </c>
    </row>
    <row r="105" spans="1:6" ht="31.5">
      <c r="A105" s="224" t="s">
        <v>58</v>
      </c>
      <c r="B105" s="219">
        <v>2520620200</v>
      </c>
      <c r="C105" s="219" t="s">
        <v>67</v>
      </c>
      <c r="D105" s="225" t="s">
        <v>90</v>
      </c>
      <c r="E105" s="17">
        <f>E106</f>
        <v>1110</v>
      </c>
      <c r="F105" s="17">
        <f t="shared" si="26"/>
        <v>964.7</v>
      </c>
    </row>
    <row r="106" spans="1:6" ht="31.5">
      <c r="A106" s="224" t="s">
        <v>58</v>
      </c>
      <c r="B106" s="219">
        <v>2520620200</v>
      </c>
      <c r="C106" s="224">
        <v>240</v>
      </c>
      <c r="D106" s="225" t="s">
        <v>216</v>
      </c>
      <c r="E106" s="17">
        <f>'№ 6 ведом'!F77</f>
        <v>1110</v>
      </c>
      <c r="F106" s="17">
        <f>'№ 6 ведом'!G77</f>
        <v>964.7</v>
      </c>
    </row>
    <row r="107" spans="1:6" ht="47.25">
      <c r="A107" s="219" t="s">
        <v>58</v>
      </c>
      <c r="B107" s="219">
        <v>2600000000</v>
      </c>
      <c r="C107" s="219"/>
      <c r="D107" s="225" t="s">
        <v>316</v>
      </c>
      <c r="E107" s="17">
        <f>E108+E120+E132</f>
        <v>8414.5</v>
      </c>
      <c r="F107" s="17">
        <f>F108+F120+F132</f>
        <v>5914.1</v>
      </c>
    </row>
    <row r="108" spans="1:6" ht="31.5">
      <c r="A108" s="219" t="s">
        <v>58</v>
      </c>
      <c r="B108" s="219">
        <v>2610000000</v>
      </c>
      <c r="C108" s="219"/>
      <c r="D108" s="225" t="s">
        <v>102</v>
      </c>
      <c r="E108" s="17">
        <f>E109+E116</f>
        <v>4942.1000000000004</v>
      </c>
      <c r="F108" s="17">
        <f t="shared" ref="F108" si="27">F109+F116</f>
        <v>2847.2000000000003</v>
      </c>
    </row>
    <row r="109" spans="1:6">
      <c r="A109" s="219" t="s">
        <v>58</v>
      </c>
      <c r="B109" s="219">
        <v>2610100000</v>
      </c>
      <c r="C109" s="219"/>
      <c r="D109" s="225" t="s">
        <v>103</v>
      </c>
      <c r="E109" s="17">
        <f>E110+E113</f>
        <v>3188.2</v>
      </c>
      <c r="F109" s="17">
        <f>F110+F113</f>
        <v>2847.2000000000003</v>
      </c>
    </row>
    <row r="110" spans="1:6">
      <c r="A110" s="219" t="s">
        <v>58</v>
      </c>
      <c r="B110" s="219">
        <v>2610120210</v>
      </c>
      <c r="C110" s="18"/>
      <c r="D110" s="225" t="s">
        <v>104</v>
      </c>
      <c r="E110" s="17">
        <f t="shared" ref="E110:F111" si="28">E111</f>
        <v>2987.2</v>
      </c>
      <c r="F110" s="17">
        <f t="shared" si="28"/>
        <v>2646.8</v>
      </c>
    </row>
    <row r="111" spans="1:6" ht="31.5">
      <c r="A111" s="219" t="s">
        <v>58</v>
      </c>
      <c r="B111" s="219">
        <v>2610120210</v>
      </c>
      <c r="C111" s="219" t="s">
        <v>67</v>
      </c>
      <c r="D111" s="225" t="s">
        <v>90</v>
      </c>
      <c r="E111" s="17">
        <f t="shared" si="28"/>
        <v>2987.2</v>
      </c>
      <c r="F111" s="17">
        <f t="shared" si="28"/>
        <v>2646.8</v>
      </c>
    </row>
    <row r="112" spans="1:6" ht="31.5">
      <c r="A112" s="219" t="s">
        <v>58</v>
      </c>
      <c r="B112" s="219">
        <v>2610120210</v>
      </c>
      <c r="C112" s="224">
        <v>240</v>
      </c>
      <c r="D112" s="225" t="s">
        <v>216</v>
      </c>
      <c r="E112" s="17">
        <f>'№ 6 ведом'!F569</f>
        <v>2987.2</v>
      </c>
      <c r="F112" s="17">
        <f>'№ 6 ведом'!G569</f>
        <v>2646.8</v>
      </c>
    </row>
    <row r="113" spans="1:6" ht="31.5">
      <c r="A113" s="219" t="s">
        <v>58</v>
      </c>
      <c r="B113" s="219">
        <v>2610120220</v>
      </c>
      <c r="C113" s="224"/>
      <c r="D113" s="225" t="s">
        <v>101</v>
      </c>
      <c r="E113" s="17">
        <f t="shared" ref="E113:F114" si="29">E114</f>
        <v>201</v>
      </c>
      <c r="F113" s="17">
        <f t="shared" si="29"/>
        <v>200.4</v>
      </c>
    </row>
    <row r="114" spans="1:6" ht="31.5">
      <c r="A114" s="219" t="s">
        <v>58</v>
      </c>
      <c r="B114" s="219">
        <v>2610120220</v>
      </c>
      <c r="C114" s="219" t="s">
        <v>67</v>
      </c>
      <c r="D114" s="225" t="s">
        <v>90</v>
      </c>
      <c r="E114" s="17">
        <f t="shared" si="29"/>
        <v>201</v>
      </c>
      <c r="F114" s="17">
        <f t="shared" si="29"/>
        <v>200.4</v>
      </c>
    </row>
    <row r="115" spans="1:6" ht="32.25" thickBot="1">
      <c r="A115" s="219" t="s">
        <v>58</v>
      </c>
      <c r="B115" s="219">
        <v>2610120220</v>
      </c>
      <c r="C115" s="224">
        <v>240</v>
      </c>
      <c r="D115" s="225" t="s">
        <v>216</v>
      </c>
      <c r="E115" s="17">
        <f>'№ 6 ведом'!F572</f>
        <v>201</v>
      </c>
      <c r="F115" s="17">
        <f>'№ 6 ведом'!G572</f>
        <v>200.4</v>
      </c>
    </row>
    <row r="116" spans="1:6" ht="32.25" thickBot="1">
      <c r="A116" s="219" t="s">
        <v>58</v>
      </c>
      <c r="B116" s="219">
        <v>2610300000</v>
      </c>
      <c r="C116" s="224"/>
      <c r="D116" s="230" t="s">
        <v>398</v>
      </c>
      <c r="E116" s="17">
        <f>E117</f>
        <v>1753.9</v>
      </c>
      <c r="F116" s="17">
        <f t="shared" ref="F116:F118" si="30">F117</f>
        <v>0</v>
      </c>
    </row>
    <row r="117" spans="1:6" ht="31.5">
      <c r="A117" s="219" t="s">
        <v>58</v>
      </c>
      <c r="B117" s="219">
        <v>2610320030</v>
      </c>
      <c r="C117" s="224"/>
      <c r="D117" s="62" t="s">
        <v>399</v>
      </c>
      <c r="E117" s="17">
        <f>E118</f>
        <v>1753.9</v>
      </c>
      <c r="F117" s="17">
        <f t="shared" si="30"/>
        <v>0</v>
      </c>
    </row>
    <row r="118" spans="1:6" ht="31.5">
      <c r="A118" s="219" t="s">
        <v>58</v>
      </c>
      <c r="B118" s="219">
        <v>2610320030</v>
      </c>
      <c r="C118" s="219" t="s">
        <v>67</v>
      </c>
      <c r="D118" s="225" t="s">
        <v>90</v>
      </c>
      <c r="E118" s="17">
        <f>E119</f>
        <v>1753.9</v>
      </c>
      <c r="F118" s="17">
        <f t="shared" si="30"/>
        <v>0</v>
      </c>
    </row>
    <row r="119" spans="1:6" ht="31.5">
      <c r="A119" s="219" t="s">
        <v>58</v>
      </c>
      <c r="B119" s="219">
        <v>2610320030</v>
      </c>
      <c r="C119" s="224">
        <v>240</v>
      </c>
      <c r="D119" s="225" t="s">
        <v>216</v>
      </c>
      <c r="E119" s="17">
        <f>'№ 6 ведом'!F576</f>
        <v>1753.9</v>
      </c>
      <c r="F119" s="17">
        <f>'№ 6 ведом'!G576</f>
        <v>0</v>
      </c>
    </row>
    <row r="120" spans="1:6" ht="47.25">
      <c r="A120" s="219" t="s">
        <v>58</v>
      </c>
      <c r="B120" s="219">
        <v>2620000000</v>
      </c>
      <c r="C120" s="224"/>
      <c r="D120" s="225" t="s">
        <v>197</v>
      </c>
      <c r="E120" s="17">
        <f>E121+E128</f>
        <v>3445.9</v>
      </c>
      <c r="F120" s="17">
        <f>F121+F128</f>
        <v>3040.4</v>
      </c>
    </row>
    <row r="121" spans="1:6" ht="47.25">
      <c r="A121" s="219" t="s">
        <v>58</v>
      </c>
      <c r="B121" s="224">
        <v>2620100000</v>
      </c>
      <c r="C121" s="224"/>
      <c r="D121" s="49" t="s">
        <v>198</v>
      </c>
      <c r="E121" s="17">
        <f>E122+E125</f>
        <v>3235.4</v>
      </c>
      <c r="F121" s="17">
        <f>F122+F125</f>
        <v>2871.4</v>
      </c>
    </row>
    <row r="122" spans="1:6" ht="47.25">
      <c r="A122" s="224" t="s">
        <v>58</v>
      </c>
      <c r="B122" s="224">
        <v>2620120180</v>
      </c>
      <c r="C122" s="224"/>
      <c r="D122" s="49" t="s">
        <v>199</v>
      </c>
      <c r="E122" s="17">
        <f t="shared" ref="E122:F123" si="31">E123</f>
        <v>1990.9</v>
      </c>
      <c r="F122" s="17">
        <f t="shared" si="31"/>
        <v>1627.7</v>
      </c>
    </row>
    <row r="123" spans="1:6" ht="31.5">
      <c r="A123" s="219" t="s">
        <v>58</v>
      </c>
      <c r="B123" s="224">
        <v>2620120180</v>
      </c>
      <c r="C123" s="224" t="s">
        <v>67</v>
      </c>
      <c r="D123" s="49" t="s">
        <v>90</v>
      </c>
      <c r="E123" s="17">
        <f t="shared" si="31"/>
        <v>1990.9</v>
      </c>
      <c r="F123" s="17">
        <f t="shared" si="31"/>
        <v>1627.7</v>
      </c>
    </row>
    <row r="124" spans="1:6" ht="31.5">
      <c r="A124" s="219" t="s">
        <v>58</v>
      </c>
      <c r="B124" s="224">
        <v>2620120180</v>
      </c>
      <c r="C124" s="224">
        <v>240</v>
      </c>
      <c r="D124" s="49" t="s">
        <v>216</v>
      </c>
      <c r="E124" s="17">
        <f>'№ 6 ведом'!F83</f>
        <v>1990.9</v>
      </c>
      <c r="F124" s="17">
        <f>'№ 6 ведом'!G83</f>
        <v>1627.7</v>
      </c>
    </row>
    <row r="125" spans="1:6" ht="47.25">
      <c r="A125" s="224" t="s">
        <v>58</v>
      </c>
      <c r="B125" s="224">
        <v>2620120520</v>
      </c>
      <c r="C125" s="224"/>
      <c r="D125" s="49" t="s">
        <v>204</v>
      </c>
      <c r="E125" s="17">
        <f t="shared" ref="E125:F126" si="32">E126</f>
        <v>1244.5</v>
      </c>
      <c r="F125" s="17">
        <f t="shared" si="32"/>
        <v>1243.7</v>
      </c>
    </row>
    <row r="126" spans="1:6" ht="31.5">
      <c r="A126" s="219" t="s">
        <v>58</v>
      </c>
      <c r="B126" s="224">
        <v>2620120520</v>
      </c>
      <c r="C126" s="224" t="s">
        <v>67</v>
      </c>
      <c r="D126" s="49" t="s">
        <v>90</v>
      </c>
      <c r="E126" s="17">
        <f t="shared" si="32"/>
        <v>1244.5</v>
      </c>
      <c r="F126" s="17">
        <f t="shared" si="32"/>
        <v>1243.7</v>
      </c>
    </row>
    <row r="127" spans="1:6" ht="31.5">
      <c r="A127" s="219" t="s">
        <v>58</v>
      </c>
      <c r="B127" s="224">
        <v>2620120520</v>
      </c>
      <c r="C127" s="224">
        <v>240</v>
      </c>
      <c r="D127" s="49" t="s">
        <v>216</v>
      </c>
      <c r="E127" s="17">
        <f>'№ 6 ведом'!F86</f>
        <v>1244.5</v>
      </c>
      <c r="F127" s="17">
        <f>'№ 6 ведом'!G86</f>
        <v>1243.7</v>
      </c>
    </row>
    <row r="128" spans="1:6" ht="47.25">
      <c r="A128" s="224" t="s">
        <v>58</v>
      </c>
      <c r="B128" s="224">
        <v>2620200000</v>
      </c>
      <c r="C128" s="224"/>
      <c r="D128" s="49" t="s">
        <v>200</v>
      </c>
      <c r="E128" s="17">
        <f>E129</f>
        <v>210.5</v>
      </c>
      <c r="F128" s="17">
        <f t="shared" ref="F128:F130" si="33">F129</f>
        <v>169</v>
      </c>
    </row>
    <row r="129" spans="1:6" ht="31.5">
      <c r="A129" s="219" t="s">
        <v>58</v>
      </c>
      <c r="B129" s="224">
        <v>2620220530</v>
      </c>
      <c r="C129" s="224"/>
      <c r="D129" s="49" t="s">
        <v>201</v>
      </c>
      <c r="E129" s="17">
        <f>E130</f>
        <v>210.5</v>
      </c>
      <c r="F129" s="17">
        <f t="shared" si="33"/>
        <v>169</v>
      </c>
    </row>
    <row r="130" spans="1:6" ht="31.5">
      <c r="A130" s="219" t="s">
        <v>58</v>
      </c>
      <c r="B130" s="224">
        <v>2620220530</v>
      </c>
      <c r="C130" s="224" t="s">
        <v>67</v>
      </c>
      <c r="D130" s="49" t="s">
        <v>90</v>
      </c>
      <c r="E130" s="17">
        <f>E131</f>
        <v>210.5</v>
      </c>
      <c r="F130" s="17">
        <f t="shared" si="33"/>
        <v>169</v>
      </c>
    </row>
    <row r="131" spans="1:6" ht="31.5">
      <c r="A131" s="224" t="s">
        <v>58</v>
      </c>
      <c r="B131" s="224">
        <v>2620220530</v>
      </c>
      <c r="C131" s="224">
        <v>240</v>
      </c>
      <c r="D131" s="49" t="s">
        <v>216</v>
      </c>
      <c r="E131" s="17">
        <f>'№ 6 ведом'!F90</f>
        <v>210.5</v>
      </c>
      <c r="F131" s="17">
        <f>'№ 6 ведом'!G90</f>
        <v>169</v>
      </c>
    </row>
    <row r="132" spans="1:6" ht="47.25">
      <c r="A132" s="224" t="s">
        <v>58</v>
      </c>
      <c r="B132" s="219">
        <v>2630000000</v>
      </c>
      <c r="C132" s="1"/>
      <c r="D132" s="50" t="s">
        <v>191</v>
      </c>
      <c r="E132" s="17">
        <f>E133</f>
        <v>26.5</v>
      </c>
      <c r="F132" s="17">
        <f t="shared" ref="F132:F135" si="34">F133</f>
        <v>26.5</v>
      </c>
    </row>
    <row r="133" spans="1:6" ht="31.5">
      <c r="A133" s="224" t="s">
        <v>58</v>
      </c>
      <c r="B133" s="224">
        <v>2630200000</v>
      </c>
      <c r="C133" s="1"/>
      <c r="D133" s="50" t="s">
        <v>194</v>
      </c>
      <c r="E133" s="17">
        <f>E134</f>
        <v>26.5</v>
      </c>
      <c r="F133" s="17">
        <f t="shared" si="34"/>
        <v>26.5</v>
      </c>
    </row>
    <row r="134" spans="1:6">
      <c r="A134" s="224" t="s">
        <v>58</v>
      </c>
      <c r="B134" s="224">
        <v>2630220250</v>
      </c>
      <c r="C134" s="1"/>
      <c r="D134" s="50" t="s">
        <v>192</v>
      </c>
      <c r="E134" s="17">
        <f>E135</f>
        <v>26.5</v>
      </c>
      <c r="F134" s="17">
        <f t="shared" si="34"/>
        <v>26.5</v>
      </c>
    </row>
    <row r="135" spans="1:6" ht="31.5">
      <c r="A135" s="224" t="s">
        <v>58</v>
      </c>
      <c r="B135" s="224">
        <v>2630220250</v>
      </c>
      <c r="C135" s="219" t="s">
        <v>67</v>
      </c>
      <c r="D135" s="225" t="s">
        <v>90</v>
      </c>
      <c r="E135" s="17">
        <f>E136</f>
        <v>26.5</v>
      </c>
      <c r="F135" s="17">
        <f t="shared" si="34"/>
        <v>26.5</v>
      </c>
    </row>
    <row r="136" spans="1:6" ht="31.5">
      <c r="A136" s="224" t="s">
        <v>58</v>
      </c>
      <c r="B136" s="224">
        <v>2630220250</v>
      </c>
      <c r="C136" s="224">
        <v>240</v>
      </c>
      <c r="D136" s="49" t="s">
        <v>216</v>
      </c>
      <c r="E136" s="17">
        <f>'№ 6 ведом'!F95</f>
        <v>26.5</v>
      </c>
      <c r="F136" s="17">
        <f>'№ 6 ведом'!G95</f>
        <v>26.5</v>
      </c>
    </row>
    <row r="137" spans="1:6">
      <c r="A137" s="224" t="s">
        <v>58</v>
      </c>
      <c r="B137" s="224">
        <v>9900000000</v>
      </c>
      <c r="C137" s="224"/>
      <c r="D137" s="49" t="s">
        <v>100</v>
      </c>
      <c r="E137" s="17">
        <f>E144+E138</f>
        <v>34725.5</v>
      </c>
      <c r="F137" s="17">
        <f t="shared" ref="F137" si="35">F144+F138</f>
        <v>33353.800000000003</v>
      </c>
    </row>
    <row r="138" spans="1:6" ht="31.5">
      <c r="A138" s="224" t="s">
        <v>58</v>
      </c>
      <c r="B138" s="224">
        <v>9930000000</v>
      </c>
      <c r="C138" s="224"/>
      <c r="D138" s="56" t="s">
        <v>150</v>
      </c>
      <c r="E138" s="17">
        <f>E139</f>
        <v>76.099999999999994</v>
      </c>
      <c r="F138" s="17">
        <f t="shared" ref="F138:F142" si="36">F139</f>
        <v>76.099999999999994</v>
      </c>
    </row>
    <row r="139" spans="1:6" ht="31.5">
      <c r="A139" s="224" t="s">
        <v>58</v>
      </c>
      <c r="B139" s="224">
        <v>9930020490</v>
      </c>
      <c r="C139" s="224"/>
      <c r="D139" s="56" t="s">
        <v>363</v>
      </c>
      <c r="E139" s="17">
        <f>E142+E140</f>
        <v>76.099999999999994</v>
      </c>
      <c r="F139" s="17">
        <f t="shared" ref="F139" si="37">F142+F140</f>
        <v>76.099999999999994</v>
      </c>
    </row>
    <row r="140" spans="1:6" ht="31.5">
      <c r="A140" s="219" t="s">
        <v>58</v>
      </c>
      <c r="B140" s="224">
        <v>9930020490</v>
      </c>
      <c r="C140" s="219" t="s">
        <v>67</v>
      </c>
      <c r="D140" s="225" t="s">
        <v>90</v>
      </c>
      <c r="E140" s="17">
        <f>E141</f>
        <v>30.6</v>
      </c>
      <c r="F140" s="17">
        <f t="shared" ref="F140" si="38">F141</f>
        <v>30.6</v>
      </c>
    </row>
    <row r="141" spans="1:6" ht="31.5">
      <c r="A141" s="219" t="s">
        <v>58</v>
      </c>
      <c r="B141" s="224">
        <v>9930020490</v>
      </c>
      <c r="C141" s="224">
        <v>240</v>
      </c>
      <c r="D141" s="225" t="s">
        <v>216</v>
      </c>
      <c r="E141" s="17">
        <f>'№ 6 ведом'!F581</f>
        <v>30.6</v>
      </c>
      <c r="F141" s="17">
        <f>'№ 6 ведом'!G581</f>
        <v>30.6</v>
      </c>
    </row>
    <row r="142" spans="1:6">
      <c r="A142" s="224" t="s">
        <v>58</v>
      </c>
      <c r="B142" s="224">
        <v>9930020490</v>
      </c>
      <c r="C142" s="11" t="s">
        <v>68</v>
      </c>
      <c r="D142" s="42" t="s">
        <v>69</v>
      </c>
      <c r="E142" s="17">
        <f>E143</f>
        <v>45.5</v>
      </c>
      <c r="F142" s="17">
        <f t="shared" si="36"/>
        <v>45.5</v>
      </c>
    </row>
    <row r="143" spans="1:6">
      <c r="A143" s="224" t="s">
        <v>58</v>
      </c>
      <c r="B143" s="224">
        <v>9930020490</v>
      </c>
      <c r="C143" s="1" t="s">
        <v>364</v>
      </c>
      <c r="D143" s="140" t="s">
        <v>365</v>
      </c>
      <c r="E143" s="17">
        <f>'№ 6 ведом'!F100+'№ 6 ведом'!F583</f>
        <v>45.5</v>
      </c>
      <c r="F143" s="17">
        <f>'№ 6 ведом'!G100+'№ 6 ведом'!G583</f>
        <v>45.5</v>
      </c>
    </row>
    <row r="144" spans="1:6" ht="31.5">
      <c r="A144" s="224" t="s">
        <v>58</v>
      </c>
      <c r="B144" s="224">
        <v>9990000000</v>
      </c>
      <c r="C144" s="224"/>
      <c r="D144" s="49" t="s">
        <v>141</v>
      </c>
      <c r="E144" s="17">
        <f>E145+E155</f>
        <v>34649.4</v>
      </c>
      <c r="F144" s="17">
        <f>F145+F155</f>
        <v>33277.700000000004</v>
      </c>
    </row>
    <row r="145" spans="1:6" ht="31.5">
      <c r="A145" s="224" t="s">
        <v>58</v>
      </c>
      <c r="B145" s="224">
        <v>9990200000</v>
      </c>
      <c r="C145" s="24"/>
      <c r="D145" s="49" t="s">
        <v>112</v>
      </c>
      <c r="E145" s="17">
        <f>+E146+E149+E152</f>
        <v>7654.5</v>
      </c>
      <c r="F145" s="17">
        <f t="shared" ref="F145" si="39">+F146+F149+F152</f>
        <v>7596.3</v>
      </c>
    </row>
    <row r="146" spans="1:6" ht="78.75">
      <c r="A146" s="224" t="s">
        <v>58</v>
      </c>
      <c r="B146" s="224">
        <v>9990210540</v>
      </c>
      <c r="C146" s="224"/>
      <c r="D146" s="49" t="s">
        <v>147</v>
      </c>
      <c r="E146" s="17">
        <f t="shared" ref="E146:F147" si="40">E147</f>
        <v>319.5</v>
      </c>
      <c r="F146" s="17">
        <f t="shared" si="40"/>
        <v>319.5</v>
      </c>
    </row>
    <row r="147" spans="1:6" ht="63">
      <c r="A147" s="224" t="s">
        <v>58</v>
      </c>
      <c r="B147" s="224">
        <v>9990210540</v>
      </c>
      <c r="C147" s="224" t="s">
        <v>66</v>
      </c>
      <c r="D147" s="49" t="s">
        <v>1</v>
      </c>
      <c r="E147" s="17">
        <f t="shared" si="40"/>
        <v>319.5</v>
      </c>
      <c r="F147" s="17">
        <f t="shared" si="40"/>
        <v>319.5</v>
      </c>
    </row>
    <row r="148" spans="1:6" ht="31.5">
      <c r="A148" s="224" t="s">
        <v>58</v>
      </c>
      <c r="B148" s="224">
        <v>9990210540</v>
      </c>
      <c r="C148" s="224">
        <v>120</v>
      </c>
      <c r="D148" s="49" t="s">
        <v>217</v>
      </c>
      <c r="E148" s="17">
        <f>'№ 6 ведом'!F105</f>
        <v>319.5</v>
      </c>
      <c r="F148" s="17">
        <f>'№ 6 ведом'!G105</f>
        <v>319.5</v>
      </c>
    </row>
    <row r="149" spans="1:6" ht="47.25">
      <c r="A149" s="219" t="s">
        <v>58</v>
      </c>
      <c r="B149" s="224">
        <v>9990225000</v>
      </c>
      <c r="C149" s="224"/>
      <c r="D149" s="49" t="s">
        <v>113</v>
      </c>
      <c r="E149" s="17">
        <f t="shared" ref="E149:F150" si="41">E150</f>
        <v>7170.4</v>
      </c>
      <c r="F149" s="17">
        <f t="shared" si="41"/>
        <v>7142.1</v>
      </c>
    </row>
    <row r="150" spans="1:6" ht="63">
      <c r="A150" s="219" t="s">
        <v>58</v>
      </c>
      <c r="B150" s="224">
        <v>9990225000</v>
      </c>
      <c r="C150" s="219" t="s">
        <v>66</v>
      </c>
      <c r="D150" s="225" t="s">
        <v>1</v>
      </c>
      <c r="E150" s="17">
        <f t="shared" si="41"/>
        <v>7170.4</v>
      </c>
      <c r="F150" s="17">
        <f t="shared" si="41"/>
        <v>7142.1</v>
      </c>
    </row>
    <row r="151" spans="1:6" ht="31.5">
      <c r="A151" s="219" t="s">
        <v>58</v>
      </c>
      <c r="B151" s="224">
        <v>9990225000</v>
      </c>
      <c r="C151" s="224">
        <v>120</v>
      </c>
      <c r="D151" s="49" t="s">
        <v>217</v>
      </c>
      <c r="E151" s="17">
        <f>'№ 6 ведом'!F588</f>
        <v>7170.4</v>
      </c>
      <c r="F151" s="17">
        <f>'№ 6 ведом'!G588</f>
        <v>7142.1</v>
      </c>
    </row>
    <row r="152" spans="1:6" ht="47.25">
      <c r="A152" s="219" t="s">
        <v>58</v>
      </c>
      <c r="B152" s="229">
        <v>9990255492</v>
      </c>
      <c r="C152" s="224"/>
      <c r="D152" s="225" t="s">
        <v>409</v>
      </c>
      <c r="E152" s="21">
        <f>E153</f>
        <v>164.6</v>
      </c>
      <c r="F152" s="21">
        <f t="shared" ref="F152:F153" si="42">F153</f>
        <v>134.69999999999999</v>
      </c>
    </row>
    <row r="153" spans="1:6" ht="63">
      <c r="A153" s="219" t="s">
        <v>58</v>
      </c>
      <c r="B153" s="229">
        <v>9990255492</v>
      </c>
      <c r="C153" s="224" t="s">
        <v>66</v>
      </c>
      <c r="D153" s="225" t="s">
        <v>1</v>
      </c>
      <c r="E153" s="21">
        <f>E154</f>
        <v>164.6</v>
      </c>
      <c r="F153" s="21">
        <f t="shared" si="42"/>
        <v>134.69999999999999</v>
      </c>
    </row>
    <row r="154" spans="1:6" ht="31.5">
      <c r="A154" s="219" t="s">
        <v>58</v>
      </c>
      <c r="B154" s="229">
        <v>9990255492</v>
      </c>
      <c r="C154" s="224">
        <v>120</v>
      </c>
      <c r="D154" s="225" t="s">
        <v>217</v>
      </c>
      <c r="E154" s="21">
        <f>'№ 6 ведом'!F591</f>
        <v>164.6</v>
      </c>
      <c r="F154" s="21">
        <f>'№ 6 ведом'!G591</f>
        <v>134.69999999999999</v>
      </c>
    </row>
    <row r="155" spans="1:6" ht="31.5">
      <c r="A155" s="224" t="s">
        <v>58</v>
      </c>
      <c r="B155" s="224">
        <v>9990300000</v>
      </c>
      <c r="C155" s="224"/>
      <c r="D155" s="49" t="s">
        <v>152</v>
      </c>
      <c r="E155" s="17">
        <f>E156+E158+E160</f>
        <v>26994.9</v>
      </c>
      <c r="F155" s="17">
        <f>F156+F158+F160</f>
        <v>25681.4</v>
      </c>
    </row>
    <row r="156" spans="1:6" ht="63">
      <c r="A156" s="224" t="s">
        <v>58</v>
      </c>
      <c r="B156" s="224">
        <v>9990300000</v>
      </c>
      <c r="C156" s="224" t="s">
        <v>66</v>
      </c>
      <c r="D156" s="49" t="s">
        <v>1</v>
      </c>
      <c r="E156" s="17">
        <f>E157</f>
        <v>18728.300000000003</v>
      </c>
      <c r="F156" s="17">
        <f>F157</f>
        <v>18728.3</v>
      </c>
    </row>
    <row r="157" spans="1:6">
      <c r="A157" s="224" t="s">
        <v>58</v>
      </c>
      <c r="B157" s="224">
        <v>9990300000</v>
      </c>
      <c r="C157" s="224">
        <v>110</v>
      </c>
      <c r="D157" s="50" t="s">
        <v>153</v>
      </c>
      <c r="E157" s="17">
        <f>'№ 6 ведом'!F108</f>
        <v>18728.300000000003</v>
      </c>
      <c r="F157" s="17">
        <f>'№ 6 ведом'!G108</f>
        <v>18728.3</v>
      </c>
    </row>
    <row r="158" spans="1:6" ht="31.5">
      <c r="A158" s="224" t="s">
        <v>58</v>
      </c>
      <c r="B158" s="224">
        <v>9990300000</v>
      </c>
      <c r="C158" s="224" t="s">
        <v>67</v>
      </c>
      <c r="D158" s="49" t="s">
        <v>90</v>
      </c>
      <c r="E158" s="17">
        <f>E159</f>
        <v>8238.9999999999982</v>
      </c>
      <c r="F158" s="17">
        <f>F159</f>
        <v>6928.6</v>
      </c>
    </row>
    <row r="159" spans="1:6" ht="31.5">
      <c r="A159" s="224" t="s">
        <v>58</v>
      </c>
      <c r="B159" s="224">
        <v>9990300000</v>
      </c>
      <c r="C159" s="224">
        <v>240</v>
      </c>
      <c r="D159" s="49" t="s">
        <v>216</v>
      </c>
      <c r="E159" s="17">
        <f>'№ 6 ведом'!F110</f>
        <v>8238.9999999999982</v>
      </c>
      <c r="F159" s="17">
        <f>'№ 6 ведом'!G110</f>
        <v>6928.6</v>
      </c>
    </row>
    <row r="160" spans="1:6">
      <c r="A160" s="224" t="s">
        <v>58</v>
      </c>
      <c r="B160" s="224">
        <v>9990300000</v>
      </c>
      <c r="C160" s="224" t="s">
        <v>68</v>
      </c>
      <c r="D160" s="49" t="s">
        <v>69</v>
      </c>
      <c r="E160" s="17">
        <f>E161</f>
        <v>27.6</v>
      </c>
      <c r="F160" s="17">
        <f>F161</f>
        <v>24.5</v>
      </c>
    </row>
    <row r="161" spans="1:7">
      <c r="A161" s="224" t="s">
        <v>58</v>
      </c>
      <c r="B161" s="224">
        <v>9990300000</v>
      </c>
      <c r="C161" s="224">
        <v>850</v>
      </c>
      <c r="D161" s="49" t="s">
        <v>95</v>
      </c>
      <c r="E161" s="17">
        <f>'№ 6 ведом'!F112</f>
        <v>27.6</v>
      </c>
      <c r="F161" s="17">
        <f>'№ 6 ведом'!G112</f>
        <v>24.5</v>
      </c>
    </row>
    <row r="162" spans="1:7" ht="31.5">
      <c r="A162" s="4" t="s">
        <v>54</v>
      </c>
      <c r="B162" s="4" t="s">
        <v>64</v>
      </c>
      <c r="C162" s="4" t="s">
        <v>64</v>
      </c>
      <c r="D162" s="19" t="s">
        <v>24</v>
      </c>
      <c r="E162" s="6">
        <f>E163+E170</f>
        <v>10710.9</v>
      </c>
      <c r="F162" s="6">
        <f>F163+F170</f>
        <v>10709.6</v>
      </c>
    </row>
    <row r="163" spans="1:7">
      <c r="A163" s="224" t="s">
        <v>73</v>
      </c>
      <c r="B163" s="224" t="s">
        <v>64</v>
      </c>
      <c r="C163" s="224" t="s">
        <v>64</v>
      </c>
      <c r="D163" s="49" t="s">
        <v>74</v>
      </c>
      <c r="E163" s="17">
        <f t="shared" ref="E163:E168" si="43">E164</f>
        <v>1462.2</v>
      </c>
      <c r="F163" s="17">
        <f t="shared" ref="F163:F167" si="44">F164</f>
        <v>1462.2</v>
      </c>
    </row>
    <row r="164" spans="1:7">
      <c r="A164" s="224" t="s">
        <v>73</v>
      </c>
      <c r="B164" s="224">
        <v>9900000000</v>
      </c>
      <c r="C164" s="224"/>
      <c r="D164" s="49" t="s">
        <v>100</v>
      </c>
      <c r="E164" s="17">
        <f t="shared" si="43"/>
        <v>1462.2</v>
      </c>
      <c r="F164" s="17">
        <f t="shared" si="44"/>
        <v>1462.2</v>
      </c>
    </row>
    <row r="165" spans="1:7" ht="31.5">
      <c r="A165" s="224" t="s">
        <v>73</v>
      </c>
      <c r="B165" s="224">
        <v>9990000000</v>
      </c>
      <c r="C165" s="224"/>
      <c r="D165" s="49" t="s">
        <v>141</v>
      </c>
      <c r="E165" s="17">
        <f t="shared" si="43"/>
        <v>1462.2</v>
      </c>
      <c r="F165" s="17">
        <f t="shared" si="44"/>
        <v>1462.2</v>
      </c>
    </row>
    <row r="166" spans="1:7" ht="31.5">
      <c r="A166" s="224" t="s">
        <v>73</v>
      </c>
      <c r="B166" s="224">
        <v>9990200000</v>
      </c>
      <c r="C166" s="24"/>
      <c r="D166" s="49" t="s">
        <v>112</v>
      </c>
      <c r="E166" s="17">
        <f t="shared" si="43"/>
        <v>1462.2</v>
      </c>
      <c r="F166" s="17">
        <f t="shared" si="44"/>
        <v>1462.2</v>
      </c>
    </row>
    <row r="167" spans="1:7" ht="31.5">
      <c r="A167" s="224" t="s">
        <v>73</v>
      </c>
      <c r="B167" s="224">
        <v>9990259302</v>
      </c>
      <c r="C167" s="224"/>
      <c r="D167" s="49" t="s">
        <v>154</v>
      </c>
      <c r="E167" s="37">
        <f t="shared" si="43"/>
        <v>1462.2</v>
      </c>
      <c r="F167" s="37">
        <f t="shared" si="44"/>
        <v>1462.2</v>
      </c>
      <c r="G167" s="30"/>
    </row>
    <row r="168" spans="1:7" ht="63">
      <c r="A168" s="224" t="s">
        <v>73</v>
      </c>
      <c r="B168" s="224">
        <v>9990259302</v>
      </c>
      <c r="C168" s="224" t="s">
        <v>66</v>
      </c>
      <c r="D168" s="49" t="s">
        <v>1</v>
      </c>
      <c r="E168" s="17">
        <f t="shared" si="43"/>
        <v>1462.2</v>
      </c>
      <c r="F168" s="17">
        <f>F169</f>
        <v>1462.2</v>
      </c>
    </row>
    <row r="169" spans="1:7" ht="31.5">
      <c r="A169" s="224" t="s">
        <v>73</v>
      </c>
      <c r="B169" s="224">
        <v>9990259302</v>
      </c>
      <c r="C169" s="224">
        <v>120</v>
      </c>
      <c r="D169" s="49" t="s">
        <v>217</v>
      </c>
      <c r="E169" s="17">
        <f>'№ 6 ведом'!F120</f>
        <v>1462.2</v>
      </c>
      <c r="F169" s="17">
        <f>'№ 6 ведом'!G120</f>
        <v>1462.2</v>
      </c>
    </row>
    <row r="170" spans="1:7" ht="31.5">
      <c r="A170" s="22" t="s">
        <v>271</v>
      </c>
      <c r="B170" s="224"/>
      <c r="C170" s="224"/>
      <c r="D170" s="227" t="s">
        <v>272</v>
      </c>
      <c r="E170" s="17">
        <f t="shared" ref="E170:F175" si="45">E171</f>
        <v>9248.6999999999989</v>
      </c>
      <c r="F170" s="17">
        <f t="shared" si="45"/>
        <v>9247.4</v>
      </c>
    </row>
    <row r="171" spans="1:7" ht="31.5">
      <c r="A171" s="22" t="s">
        <v>271</v>
      </c>
      <c r="B171" s="219">
        <v>2500000000</v>
      </c>
      <c r="C171" s="224"/>
      <c r="D171" s="49" t="s">
        <v>312</v>
      </c>
      <c r="E171" s="17">
        <f>E172+E181</f>
        <v>9248.6999999999989</v>
      </c>
      <c r="F171" s="17">
        <f>F172+F181</f>
        <v>9247.4</v>
      </c>
    </row>
    <row r="172" spans="1:7">
      <c r="A172" s="22" t="s">
        <v>271</v>
      </c>
      <c r="B172" s="224">
        <v>2510000000</v>
      </c>
      <c r="C172" s="224"/>
      <c r="D172" s="49" t="s">
        <v>146</v>
      </c>
      <c r="E172" s="17">
        <f>E173+E177</f>
        <v>9025.5999999999985</v>
      </c>
      <c r="F172" s="17">
        <f t="shared" ref="F172" si="46">F173+F177</f>
        <v>9025.6</v>
      </c>
    </row>
    <row r="173" spans="1:7" ht="47.25">
      <c r="A173" s="22" t="s">
        <v>271</v>
      </c>
      <c r="B173" s="224">
        <v>2510100000</v>
      </c>
      <c r="C173" s="224"/>
      <c r="D173" s="49" t="s">
        <v>170</v>
      </c>
      <c r="E173" s="17">
        <f>E174</f>
        <v>8975.5999999999985</v>
      </c>
      <c r="F173" s="17">
        <f t="shared" si="45"/>
        <v>8975.6</v>
      </c>
    </row>
    <row r="174" spans="1:7" ht="31.5">
      <c r="A174" s="22" t="s">
        <v>271</v>
      </c>
      <c r="B174" s="224">
        <v>2510120010</v>
      </c>
      <c r="C174" s="224"/>
      <c r="D174" s="49" t="s">
        <v>118</v>
      </c>
      <c r="E174" s="17">
        <f t="shared" si="45"/>
        <v>8975.5999999999985</v>
      </c>
      <c r="F174" s="17">
        <f t="shared" si="45"/>
        <v>8975.6</v>
      </c>
    </row>
    <row r="175" spans="1:7" ht="31.5">
      <c r="A175" s="22" t="s">
        <v>271</v>
      </c>
      <c r="B175" s="224">
        <v>2510120010</v>
      </c>
      <c r="C175" s="224">
        <v>600</v>
      </c>
      <c r="D175" s="49" t="s">
        <v>81</v>
      </c>
      <c r="E175" s="17">
        <f t="shared" si="45"/>
        <v>8975.5999999999985</v>
      </c>
      <c r="F175" s="17">
        <f t="shared" si="45"/>
        <v>8975.6</v>
      </c>
    </row>
    <row r="176" spans="1:7">
      <c r="A176" s="22" t="s">
        <v>271</v>
      </c>
      <c r="B176" s="224">
        <v>2510120010</v>
      </c>
      <c r="C176" s="224">
        <v>610</v>
      </c>
      <c r="D176" s="225" t="s">
        <v>99</v>
      </c>
      <c r="E176" s="17">
        <f>'№ 6 ведом'!F127</f>
        <v>8975.5999999999985</v>
      </c>
      <c r="F176" s="17">
        <f>'№ 6 ведом'!G127</f>
        <v>8975.6</v>
      </c>
    </row>
    <row r="177" spans="1:6" ht="31.5">
      <c r="A177" s="22" t="s">
        <v>271</v>
      </c>
      <c r="B177" s="224">
        <v>2510400000</v>
      </c>
      <c r="C177" s="224"/>
      <c r="D177" s="225" t="s">
        <v>392</v>
      </c>
      <c r="E177" s="17">
        <f>E178</f>
        <v>50</v>
      </c>
      <c r="F177" s="17">
        <f t="shared" ref="F177:F179" si="47">F178</f>
        <v>50</v>
      </c>
    </row>
    <row r="178" spans="1:6">
      <c r="A178" s="22" t="s">
        <v>271</v>
      </c>
      <c r="B178" s="224">
        <v>2510420300</v>
      </c>
      <c r="C178" s="224"/>
      <c r="D178" s="225" t="s">
        <v>393</v>
      </c>
      <c r="E178" s="17">
        <f>E179</f>
        <v>50</v>
      </c>
      <c r="F178" s="17">
        <f t="shared" si="47"/>
        <v>50</v>
      </c>
    </row>
    <row r="179" spans="1:6" ht="31.5">
      <c r="A179" s="22" t="s">
        <v>271</v>
      </c>
      <c r="B179" s="224">
        <v>2510420300</v>
      </c>
      <c r="C179" s="219" t="s">
        <v>67</v>
      </c>
      <c r="D179" s="225" t="s">
        <v>90</v>
      </c>
      <c r="E179" s="17">
        <f>E180</f>
        <v>50</v>
      </c>
      <c r="F179" s="17">
        <f t="shared" si="47"/>
        <v>50</v>
      </c>
    </row>
    <row r="180" spans="1:6" ht="31.5">
      <c r="A180" s="22" t="s">
        <v>271</v>
      </c>
      <c r="B180" s="224">
        <v>2510420300</v>
      </c>
      <c r="C180" s="224">
        <v>240</v>
      </c>
      <c r="D180" s="225" t="s">
        <v>216</v>
      </c>
      <c r="E180" s="17">
        <f>'№ 6 ведом'!F131</f>
        <v>50</v>
      </c>
      <c r="F180" s="17">
        <f>'№ 6 ведом'!G131</f>
        <v>50</v>
      </c>
    </row>
    <row r="181" spans="1:6" ht="31.5">
      <c r="A181" s="22" t="s">
        <v>271</v>
      </c>
      <c r="B181" s="219">
        <v>2520000000</v>
      </c>
      <c r="C181" s="224"/>
      <c r="D181" s="56" t="s">
        <v>227</v>
      </c>
      <c r="E181" s="17">
        <f>E182</f>
        <v>223.1</v>
      </c>
      <c r="F181" s="17">
        <f t="shared" ref="F181:F184" si="48">F182</f>
        <v>221.8</v>
      </c>
    </row>
    <row r="182" spans="1:6" ht="31.5">
      <c r="A182" s="22" t="s">
        <v>271</v>
      </c>
      <c r="B182" s="219">
        <v>2520500000</v>
      </c>
      <c r="C182" s="224"/>
      <c r="D182" s="225" t="s">
        <v>341</v>
      </c>
      <c r="E182" s="17">
        <f>E183</f>
        <v>223.1</v>
      </c>
      <c r="F182" s="17">
        <f t="shared" si="48"/>
        <v>221.8</v>
      </c>
    </row>
    <row r="183" spans="1:6">
      <c r="A183" s="22" t="s">
        <v>271</v>
      </c>
      <c r="B183" s="219">
        <v>2520520300</v>
      </c>
      <c r="C183" s="224"/>
      <c r="D183" s="225" t="s">
        <v>342</v>
      </c>
      <c r="E183" s="17">
        <f>E184</f>
        <v>223.1</v>
      </c>
      <c r="F183" s="17">
        <f t="shared" si="48"/>
        <v>221.8</v>
      </c>
    </row>
    <row r="184" spans="1:6" ht="31.5">
      <c r="A184" s="22" t="s">
        <v>271</v>
      </c>
      <c r="B184" s="219">
        <v>2520520300</v>
      </c>
      <c r="C184" s="224">
        <v>600</v>
      </c>
      <c r="D184" s="225" t="s">
        <v>81</v>
      </c>
      <c r="E184" s="17">
        <f>E185</f>
        <v>223.1</v>
      </c>
      <c r="F184" s="17">
        <f t="shared" si="48"/>
        <v>221.8</v>
      </c>
    </row>
    <row r="185" spans="1:6">
      <c r="A185" s="22" t="s">
        <v>271</v>
      </c>
      <c r="B185" s="219">
        <v>2520520300</v>
      </c>
      <c r="C185" s="224">
        <v>610</v>
      </c>
      <c r="D185" s="225" t="s">
        <v>99</v>
      </c>
      <c r="E185" s="17">
        <f>'№ 6 ведом'!F136</f>
        <v>223.1</v>
      </c>
      <c r="F185" s="17">
        <f>'№ 6 ведом'!G136</f>
        <v>221.8</v>
      </c>
    </row>
    <row r="186" spans="1:6">
      <c r="A186" s="4" t="s">
        <v>55</v>
      </c>
      <c r="B186" s="4" t="s">
        <v>64</v>
      </c>
      <c r="C186" s="4" t="s">
        <v>64</v>
      </c>
      <c r="D186" s="19" t="s">
        <v>25</v>
      </c>
      <c r="E186" s="43">
        <f>E187+E230</f>
        <v>119789.09999999999</v>
      </c>
      <c r="F186" s="43">
        <f>F187+F230</f>
        <v>114616.4</v>
      </c>
    </row>
    <row r="187" spans="1:6">
      <c r="A187" s="224" t="s">
        <v>6</v>
      </c>
      <c r="B187" s="224" t="s">
        <v>64</v>
      </c>
      <c r="C187" s="224" t="s">
        <v>64</v>
      </c>
      <c r="D187" s="49" t="s">
        <v>85</v>
      </c>
      <c r="E187" s="17">
        <f>E188</f>
        <v>119460.4</v>
      </c>
      <c r="F187" s="17">
        <f t="shared" ref="F187" si="49">F188</f>
        <v>114505.7</v>
      </c>
    </row>
    <row r="188" spans="1:6" ht="47.25">
      <c r="A188" s="224" t="s">
        <v>6</v>
      </c>
      <c r="B188" s="219">
        <v>2400000000</v>
      </c>
      <c r="C188" s="224"/>
      <c r="D188" s="225" t="s">
        <v>314</v>
      </c>
      <c r="E188" s="17">
        <f>E189+E214</f>
        <v>119460.4</v>
      </c>
      <c r="F188" s="17">
        <f>F189+F214</f>
        <v>114505.7</v>
      </c>
    </row>
    <row r="189" spans="1:6">
      <c r="A189" s="224" t="s">
        <v>6</v>
      </c>
      <c r="B189" s="219">
        <v>2410000000</v>
      </c>
      <c r="C189" s="224"/>
      <c r="D189" s="49" t="s">
        <v>119</v>
      </c>
      <c r="E189" s="17">
        <f>E190+E194+E204</f>
        <v>115492.9</v>
      </c>
      <c r="F189" s="17">
        <f>F190+F194+F204</f>
        <v>110976.59999999999</v>
      </c>
    </row>
    <row r="190" spans="1:6">
      <c r="A190" s="224" t="s">
        <v>6</v>
      </c>
      <c r="B190" s="219">
        <v>2410100000</v>
      </c>
      <c r="C190" s="24"/>
      <c r="D190" s="49" t="s">
        <v>171</v>
      </c>
      <c r="E190" s="17">
        <f>E191</f>
        <v>54300.899999999994</v>
      </c>
      <c r="F190" s="17">
        <f t="shared" ref="F190:F192" si="50">F191</f>
        <v>54250.5</v>
      </c>
    </row>
    <row r="191" spans="1:6" ht="31.5">
      <c r="A191" s="224" t="s">
        <v>6</v>
      </c>
      <c r="B191" s="224">
        <v>2410120100</v>
      </c>
      <c r="C191" s="224"/>
      <c r="D191" s="49" t="s">
        <v>120</v>
      </c>
      <c r="E191" s="17">
        <f>E192</f>
        <v>54300.899999999994</v>
      </c>
      <c r="F191" s="17">
        <f t="shared" si="50"/>
        <v>54250.5</v>
      </c>
    </row>
    <row r="192" spans="1:6" ht="31.5">
      <c r="A192" s="224" t="s">
        <v>6</v>
      </c>
      <c r="B192" s="224">
        <v>2410120100</v>
      </c>
      <c r="C192" s="219" t="s">
        <v>67</v>
      </c>
      <c r="D192" s="225" t="s">
        <v>90</v>
      </c>
      <c r="E192" s="17">
        <f>E193</f>
        <v>54300.899999999994</v>
      </c>
      <c r="F192" s="17">
        <f t="shared" si="50"/>
        <v>54250.5</v>
      </c>
    </row>
    <row r="193" spans="1:6" ht="31.5">
      <c r="A193" s="224" t="s">
        <v>6</v>
      </c>
      <c r="B193" s="224">
        <v>2410120100</v>
      </c>
      <c r="C193" s="224">
        <v>240</v>
      </c>
      <c r="D193" s="225" t="s">
        <v>216</v>
      </c>
      <c r="E193" s="17">
        <f>'№ 6 ведом'!F144</f>
        <v>54300.899999999994</v>
      </c>
      <c r="F193" s="17">
        <f>'№ 6 ведом'!G144</f>
        <v>54250.5</v>
      </c>
    </row>
    <row r="194" spans="1:6" ht="47.25">
      <c r="A194" s="224" t="s">
        <v>6</v>
      </c>
      <c r="B194" s="219">
        <v>2410200000</v>
      </c>
      <c r="C194" s="224"/>
      <c r="D194" s="49" t="s">
        <v>172</v>
      </c>
      <c r="E194" s="17">
        <f>E195+E201+E198</f>
        <v>45519.199999999997</v>
      </c>
      <c r="F194" s="17">
        <f t="shared" ref="F194" si="51">F195+F201+F198</f>
        <v>42930.400000000001</v>
      </c>
    </row>
    <row r="195" spans="1:6" ht="31.5">
      <c r="A195" s="224" t="s">
        <v>6</v>
      </c>
      <c r="B195" s="224">
        <v>2410211050</v>
      </c>
      <c r="C195" s="224"/>
      <c r="D195" s="225" t="s">
        <v>232</v>
      </c>
      <c r="E195" s="17">
        <f t="shared" ref="E195:F196" si="52">E196</f>
        <v>35262.1</v>
      </c>
      <c r="F195" s="17">
        <f t="shared" si="52"/>
        <v>33406.1</v>
      </c>
    </row>
    <row r="196" spans="1:6" ht="31.5">
      <c r="A196" s="224" t="s">
        <v>6</v>
      </c>
      <c r="B196" s="224">
        <v>2410211050</v>
      </c>
      <c r="C196" s="219" t="s">
        <v>67</v>
      </c>
      <c r="D196" s="225" t="s">
        <v>90</v>
      </c>
      <c r="E196" s="17">
        <f t="shared" si="52"/>
        <v>35262.1</v>
      </c>
      <c r="F196" s="17">
        <f t="shared" si="52"/>
        <v>33406.1</v>
      </c>
    </row>
    <row r="197" spans="1:6" ht="31.5">
      <c r="A197" s="224" t="s">
        <v>6</v>
      </c>
      <c r="B197" s="224">
        <v>2410211050</v>
      </c>
      <c r="C197" s="224">
        <v>240</v>
      </c>
      <c r="D197" s="225" t="s">
        <v>216</v>
      </c>
      <c r="E197" s="17">
        <f>'№ 6 ведом'!F148</f>
        <v>35262.1</v>
      </c>
      <c r="F197" s="17">
        <f>'№ 6 ведом'!G148</f>
        <v>33406.1</v>
      </c>
    </row>
    <row r="198" spans="1:6">
      <c r="A198" s="224" t="s">
        <v>6</v>
      </c>
      <c r="B198" s="224">
        <v>2410220110</v>
      </c>
      <c r="C198" s="224"/>
      <c r="D198" s="56" t="s">
        <v>224</v>
      </c>
      <c r="E198" s="17">
        <f>E199</f>
        <v>6339.0999999999995</v>
      </c>
      <c r="F198" s="17">
        <f t="shared" ref="F198:F199" si="53">F199</f>
        <v>5745.8</v>
      </c>
    </row>
    <row r="199" spans="1:6" ht="31.5">
      <c r="A199" s="224" t="s">
        <v>6</v>
      </c>
      <c r="B199" s="224">
        <v>2410220110</v>
      </c>
      <c r="C199" s="219" t="s">
        <v>67</v>
      </c>
      <c r="D199" s="56" t="s">
        <v>90</v>
      </c>
      <c r="E199" s="17">
        <f>E200</f>
        <v>6339.0999999999995</v>
      </c>
      <c r="F199" s="17">
        <f t="shared" si="53"/>
        <v>5745.8</v>
      </c>
    </row>
    <row r="200" spans="1:6" ht="31.5">
      <c r="A200" s="224" t="s">
        <v>6</v>
      </c>
      <c r="B200" s="224">
        <v>2410220110</v>
      </c>
      <c r="C200" s="224">
        <v>240</v>
      </c>
      <c r="D200" s="56" t="s">
        <v>216</v>
      </c>
      <c r="E200" s="17">
        <f>'№ 6 ведом'!F151</f>
        <v>6339.0999999999995</v>
      </c>
      <c r="F200" s="17">
        <f>'№ 6 ведом'!G151</f>
        <v>5745.8</v>
      </c>
    </row>
    <row r="201" spans="1:6" ht="31.5">
      <c r="A201" s="224" t="s">
        <v>6</v>
      </c>
      <c r="B201" s="224" t="s">
        <v>289</v>
      </c>
      <c r="C201" s="224"/>
      <c r="D201" s="225" t="s">
        <v>243</v>
      </c>
      <c r="E201" s="17">
        <f t="shared" ref="E201:F202" si="54">E202</f>
        <v>3918</v>
      </c>
      <c r="F201" s="17">
        <f t="shared" si="54"/>
        <v>3778.5</v>
      </c>
    </row>
    <row r="202" spans="1:6" ht="31.5">
      <c r="A202" s="224" t="s">
        <v>6</v>
      </c>
      <c r="B202" s="224" t="s">
        <v>289</v>
      </c>
      <c r="C202" s="219" t="s">
        <v>67</v>
      </c>
      <c r="D202" s="225" t="s">
        <v>90</v>
      </c>
      <c r="E202" s="17">
        <f t="shared" si="54"/>
        <v>3918</v>
      </c>
      <c r="F202" s="17">
        <f t="shared" si="54"/>
        <v>3778.5</v>
      </c>
    </row>
    <row r="203" spans="1:6" ht="31.5">
      <c r="A203" s="224" t="s">
        <v>6</v>
      </c>
      <c r="B203" s="224" t="s">
        <v>289</v>
      </c>
      <c r="C203" s="224">
        <v>240</v>
      </c>
      <c r="D203" s="225" t="s">
        <v>216</v>
      </c>
      <c r="E203" s="17">
        <f>'№ 6 ведом'!F154</f>
        <v>3918</v>
      </c>
      <c r="F203" s="17">
        <f>'№ 6 ведом'!G154</f>
        <v>3778.5</v>
      </c>
    </row>
    <row r="204" spans="1:6" ht="47.25">
      <c r="A204" s="224" t="s">
        <v>6</v>
      </c>
      <c r="B204" s="224">
        <v>2410300000</v>
      </c>
      <c r="C204" s="224"/>
      <c r="D204" s="225" t="s">
        <v>226</v>
      </c>
      <c r="E204" s="17">
        <f>E205+E211+E208</f>
        <v>15672.800000000001</v>
      </c>
      <c r="F204" s="17">
        <f>F205+F211+F208</f>
        <v>13795.7</v>
      </c>
    </row>
    <row r="205" spans="1:6" ht="47.25">
      <c r="A205" s="224" t="s">
        <v>6</v>
      </c>
      <c r="B205" s="224">
        <v>2410311020</v>
      </c>
      <c r="C205" s="224"/>
      <c r="D205" s="225" t="s">
        <v>233</v>
      </c>
      <c r="E205" s="17">
        <f t="shared" ref="E205:F206" si="55">E206</f>
        <v>10482</v>
      </c>
      <c r="F205" s="17">
        <f t="shared" si="55"/>
        <v>9359.2999999999993</v>
      </c>
    </row>
    <row r="206" spans="1:6" ht="31.5">
      <c r="A206" s="224" t="s">
        <v>6</v>
      </c>
      <c r="B206" s="224">
        <v>2410311020</v>
      </c>
      <c r="C206" s="219" t="s">
        <v>67</v>
      </c>
      <c r="D206" s="225" t="s">
        <v>90</v>
      </c>
      <c r="E206" s="17">
        <f t="shared" si="55"/>
        <v>10482</v>
      </c>
      <c r="F206" s="17">
        <f t="shared" si="55"/>
        <v>9359.2999999999993</v>
      </c>
    </row>
    <row r="207" spans="1:6" ht="31.5">
      <c r="A207" s="224" t="s">
        <v>6</v>
      </c>
      <c r="B207" s="224">
        <v>2410311020</v>
      </c>
      <c r="C207" s="224">
        <v>240</v>
      </c>
      <c r="D207" s="225" t="s">
        <v>216</v>
      </c>
      <c r="E207" s="17">
        <f>'№ 6 ведом'!F158</f>
        <v>10482</v>
      </c>
      <c r="F207" s="17">
        <f>'№ 6 ведом'!G158</f>
        <v>9359.2999999999993</v>
      </c>
    </row>
    <row r="208" spans="1:6">
      <c r="A208" s="224" t="s">
        <v>6</v>
      </c>
      <c r="B208" s="224">
        <v>2410320110</v>
      </c>
      <c r="C208" s="224"/>
      <c r="D208" s="56" t="s">
        <v>224</v>
      </c>
      <c r="E208" s="17">
        <f t="shared" ref="E208:F209" si="56">E209</f>
        <v>4026.1000000000004</v>
      </c>
      <c r="F208" s="17">
        <f t="shared" si="56"/>
        <v>3396.2</v>
      </c>
    </row>
    <row r="209" spans="1:6" ht="31.5">
      <c r="A209" s="224" t="s">
        <v>6</v>
      </c>
      <c r="B209" s="224">
        <v>2410320110</v>
      </c>
      <c r="C209" s="219" t="s">
        <v>67</v>
      </c>
      <c r="D209" s="56" t="s">
        <v>90</v>
      </c>
      <c r="E209" s="17">
        <f t="shared" si="56"/>
        <v>4026.1000000000004</v>
      </c>
      <c r="F209" s="17">
        <f t="shared" si="56"/>
        <v>3396.2</v>
      </c>
    </row>
    <row r="210" spans="1:6" ht="31.5">
      <c r="A210" s="224" t="s">
        <v>6</v>
      </c>
      <c r="B210" s="224">
        <v>2410320110</v>
      </c>
      <c r="C210" s="224">
        <v>240</v>
      </c>
      <c r="D210" s="56" t="s">
        <v>216</v>
      </c>
      <c r="E210" s="17">
        <f>'№ 6 ведом'!F161</f>
        <v>4026.1000000000004</v>
      </c>
      <c r="F210" s="17">
        <f>'№ 6 ведом'!G161</f>
        <v>3396.2</v>
      </c>
    </row>
    <row r="211" spans="1:6" ht="47.25">
      <c r="A211" s="224" t="s">
        <v>6</v>
      </c>
      <c r="B211" s="224" t="s">
        <v>290</v>
      </c>
      <c r="C211" s="224"/>
      <c r="D211" s="225" t="s">
        <v>244</v>
      </c>
      <c r="E211" s="17">
        <f t="shared" ref="E211:F212" si="57">E212</f>
        <v>1164.7</v>
      </c>
      <c r="F211" s="17">
        <f t="shared" si="57"/>
        <v>1040.2</v>
      </c>
    </row>
    <row r="212" spans="1:6" ht="31.5">
      <c r="A212" s="224" t="s">
        <v>6</v>
      </c>
      <c r="B212" s="224" t="s">
        <v>290</v>
      </c>
      <c r="C212" s="219" t="s">
        <v>67</v>
      </c>
      <c r="D212" s="225" t="s">
        <v>90</v>
      </c>
      <c r="E212" s="17">
        <f t="shared" si="57"/>
        <v>1164.7</v>
      </c>
      <c r="F212" s="17">
        <f t="shared" si="57"/>
        <v>1040.2</v>
      </c>
    </row>
    <row r="213" spans="1:6" ht="31.5">
      <c r="A213" s="224" t="s">
        <v>6</v>
      </c>
      <c r="B213" s="224" t="s">
        <v>290</v>
      </c>
      <c r="C213" s="224">
        <v>240</v>
      </c>
      <c r="D213" s="225" t="s">
        <v>216</v>
      </c>
      <c r="E213" s="17">
        <f>'№ 6 ведом'!F164</f>
        <v>1164.7</v>
      </c>
      <c r="F213" s="17">
        <f>'№ 6 ведом'!G164</f>
        <v>1040.2</v>
      </c>
    </row>
    <row r="214" spans="1:6">
      <c r="A214" s="224" t="s">
        <v>6</v>
      </c>
      <c r="B214" s="219">
        <v>2420000000</v>
      </c>
      <c r="C214" s="224"/>
      <c r="D214" s="49" t="s">
        <v>121</v>
      </c>
      <c r="E214" s="17">
        <f>E215+E223+E219</f>
        <v>3967.5</v>
      </c>
      <c r="F214" s="17">
        <f t="shared" ref="F214" si="58">F215+F223+F219</f>
        <v>3529.1</v>
      </c>
    </row>
    <row r="215" spans="1:6" ht="31.5">
      <c r="A215" s="224" t="s">
        <v>6</v>
      </c>
      <c r="B215" s="219">
        <v>2420100000</v>
      </c>
      <c r="C215" s="224"/>
      <c r="D215" s="49" t="s">
        <v>173</v>
      </c>
      <c r="E215" s="17">
        <f t="shared" ref="E215:F217" si="59">E216</f>
        <v>959</v>
      </c>
      <c r="F215" s="17">
        <f t="shared" si="59"/>
        <v>955.6</v>
      </c>
    </row>
    <row r="216" spans="1:6">
      <c r="A216" s="224" t="s">
        <v>6</v>
      </c>
      <c r="B216" s="224">
        <v>2420120120</v>
      </c>
      <c r="C216" s="224"/>
      <c r="D216" s="49" t="s">
        <v>122</v>
      </c>
      <c r="E216" s="17">
        <f t="shared" si="59"/>
        <v>959</v>
      </c>
      <c r="F216" s="17">
        <f t="shared" si="59"/>
        <v>955.6</v>
      </c>
    </row>
    <row r="217" spans="1:6" ht="31.5">
      <c r="A217" s="224" t="s">
        <v>6</v>
      </c>
      <c r="B217" s="224">
        <v>2420120120</v>
      </c>
      <c r="C217" s="219" t="s">
        <v>67</v>
      </c>
      <c r="D217" s="225" t="s">
        <v>90</v>
      </c>
      <c r="E217" s="17">
        <f t="shared" si="59"/>
        <v>959</v>
      </c>
      <c r="F217" s="17">
        <f t="shared" si="59"/>
        <v>955.6</v>
      </c>
    </row>
    <row r="218" spans="1:6" ht="31.5">
      <c r="A218" s="224" t="s">
        <v>6</v>
      </c>
      <c r="B218" s="224">
        <v>2420120120</v>
      </c>
      <c r="C218" s="224">
        <v>240</v>
      </c>
      <c r="D218" s="225" t="s">
        <v>216</v>
      </c>
      <c r="E218" s="17">
        <f>'№ 6 ведом'!F169</f>
        <v>959</v>
      </c>
      <c r="F218" s="17">
        <f>'№ 6 ведом'!G169</f>
        <v>955.6</v>
      </c>
    </row>
    <row r="219" spans="1:6" ht="31.5">
      <c r="A219" s="224" t="s">
        <v>6</v>
      </c>
      <c r="B219" s="219">
        <v>2420200000</v>
      </c>
      <c r="C219" s="224"/>
      <c r="D219" s="225" t="s">
        <v>375</v>
      </c>
      <c r="E219" s="17">
        <f>E220</f>
        <v>390</v>
      </c>
      <c r="F219" s="17">
        <f t="shared" ref="F219:F221" si="60">F220</f>
        <v>0</v>
      </c>
    </row>
    <row r="220" spans="1:6" ht="31.5">
      <c r="A220" s="224" t="s">
        <v>6</v>
      </c>
      <c r="B220" s="219">
        <v>2420220130</v>
      </c>
      <c r="C220" s="224"/>
      <c r="D220" s="225" t="s">
        <v>376</v>
      </c>
      <c r="E220" s="17">
        <f>E221</f>
        <v>390</v>
      </c>
      <c r="F220" s="17">
        <f t="shared" si="60"/>
        <v>0</v>
      </c>
    </row>
    <row r="221" spans="1:6" ht="31.5">
      <c r="A221" s="224" t="s">
        <v>6</v>
      </c>
      <c r="B221" s="219">
        <v>2420220130</v>
      </c>
      <c r="C221" s="219" t="s">
        <v>67</v>
      </c>
      <c r="D221" s="225" t="s">
        <v>90</v>
      </c>
      <c r="E221" s="17">
        <f>E222</f>
        <v>390</v>
      </c>
      <c r="F221" s="17">
        <f t="shared" si="60"/>
        <v>0</v>
      </c>
    </row>
    <row r="222" spans="1:6" ht="31.5">
      <c r="A222" s="224" t="s">
        <v>6</v>
      </c>
      <c r="B222" s="219">
        <v>2420220130</v>
      </c>
      <c r="C222" s="224">
        <v>240</v>
      </c>
      <c r="D222" s="225" t="s">
        <v>216</v>
      </c>
      <c r="E222" s="17">
        <f>'№ 6 ведом'!F173</f>
        <v>390</v>
      </c>
      <c r="F222" s="17">
        <f>'№ 6 ведом'!G173</f>
        <v>0</v>
      </c>
    </row>
    <row r="223" spans="1:6" ht="47.25">
      <c r="A223" s="224" t="s">
        <v>6</v>
      </c>
      <c r="B223" s="224" t="s">
        <v>291</v>
      </c>
      <c r="C223" s="224"/>
      <c r="D223" s="225" t="s">
        <v>334</v>
      </c>
      <c r="E223" s="17">
        <f>E224+E227</f>
        <v>2618.5</v>
      </c>
      <c r="F223" s="17">
        <f t="shared" ref="F223" si="61">F224+F227</f>
        <v>2573.5</v>
      </c>
    </row>
    <row r="224" spans="1:6" ht="63">
      <c r="A224" s="224" t="s">
        <v>6</v>
      </c>
      <c r="B224" s="224" t="s">
        <v>292</v>
      </c>
      <c r="C224" s="224"/>
      <c r="D224" s="225" t="s">
        <v>234</v>
      </c>
      <c r="E224" s="17">
        <f t="shared" ref="E224:F225" si="62">E225</f>
        <v>2316.1999999999998</v>
      </c>
      <c r="F224" s="17">
        <f t="shared" si="62"/>
        <v>2316.1</v>
      </c>
    </row>
    <row r="225" spans="1:6" ht="31.5">
      <c r="A225" s="224" t="s">
        <v>6</v>
      </c>
      <c r="B225" s="224" t="s">
        <v>292</v>
      </c>
      <c r="C225" s="219" t="s">
        <v>67</v>
      </c>
      <c r="D225" s="225" t="s">
        <v>90</v>
      </c>
      <c r="E225" s="17">
        <f t="shared" si="62"/>
        <v>2316.1999999999998</v>
      </c>
      <c r="F225" s="17">
        <f t="shared" si="62"/>
        <v>2316.1</v>
      </c>
    </row>
    <row r="226" spans="1:6" ht="31.5">
      <c r="A226" s="224" t="s">
        <v>6</v>
      </c>
      <c r="B226" s="224" t="s">
        <v>292</v>
      </c>
      <c r="C226" s="224">
        <v>240</v>
      </c>
      <c r="D226" s="225" t="s">
        <v>216</v>
      </c>
      <c r="E226" s="17">
        <f>'№ 6 ведом'!F177</f>
        <v>2316.1999999999998</v>
      </c>
      <c r="F226" s="17">
        <f>'№ 6 ведом'!G177</f>
        <v>2316.1</v>
      </c>
    </row>
    <row r="227" spans="1:6" ht="47.25">
      <c r="A227" s="224" t="s">
        <v>6</v>
      </c>
      <c r="B227" s="224" t="s">
        <v>293</v>
      </c>
      <c r="C227" s="224"/>
      <c r="D227" s="225" t="s">
        <v>225</v>
      </c>
      <c r="E227" s="17">
        <f t="shared" ref="E227:F228" si="63">E228</f>
        <v>302.3</v>
      </c>
      <c r="F227" s="17">
        <f t="shared" si="63"/>
        <v>257.39999999999998</v>
      </c>
    </row>
    <row r="228" spans="1:6" ht="31.5">
      <c r="A228" s="224" t="s">
        <v>6</v>
      </c>
      <c r="B228" s="224" t="s">
        <v>293</v>
      </c>
      <c r="C228" s="219" t="s">
        <v>67</v>
      </c>
      <c r="D228" s="225" t="s">
        <v>90</v>
      </c>
      <c r="E228" s="17">
        <f t="shared" si="63"/>
        <v>302.3</v>
      </c>
      <c r="F228" s="17">
        <f t="shared" si="63"/>
        <v>257.39999999999998</v>
      </c>
    </row>
    <row r="229" spans="1:6" ht="31.5">
      <c r="A229" s="224" t="s">
        <v>6</v>
      </c>
      <c r="B229" s="224" t="s">
        <v>293</v>
      </c>
      <c r="C229" s="224">
        <v>240</v>
      </c>
      <c r="D229" s="225" t="s">
        <v>216</v>
      </c>
      <c r="E229" s="17">
        <f>'№ 6 ведом'!F180</f>
        <v>302.3</v>
      </c>
      <c r="F229" s="17">
        <f>'№ 6 ведом'!G180</f>
        <v>257.39999999999998</v>
      </c>
    </row>
    <row r="230" spans="1:6">
      <c r="A230" s="224" t="s">
        <v>47</v>
      </c>
      <c r="B230" s="224" t="s">
        <v>64</v>
      </c>
      <c r="C230" s="224" t="s">
        <v>64</v>
      </c>
      <c r="D230" s="49" t="s">
        <v>26</v>
      </c>
      <c r="E230" s="17">
        <f t="shared" ref="E230:F230" si="64">E231</f>
        <v>328.7</v>
      </c>
      <c r="F230" s="17">
        <f t="shared" si="64"/>
        <v>110.7</v>
      </c>
    </row>
    <row r="231" spans="1:6" ht="47.25">
      <c r="A231" s="224" t="s">
        <v>47</v>
      </c>
      <c r="B231" s="219">
        <v>2600000000</v>
      </c>
      <c r="C231" s="219"/>
      <c r="D231" s="225" t="s">
        <v>316</v>
      </c>
      <c r="E231" s="17">
        <f>E232+E237</f>
        <v>328.7</v>
      </c>
      <c r="F231" s="17">
        <f t="shared" ref="F231" si="65">F232+F237</f>
        <v>110.7</v>
      </c>
    </row>
    <row r="232" spans="1:6" ht="31.5">
      <c r="A232" s="219" t="s">
        <v>47</v>
      </c>
      <c r="B232" s="219">
        <v>2610000000</v>
      </c>
      <c r="C232" s="219"/>
      <c r="D232" s="225" t="s">
        <v>102</v>
      </c>
      <c r="E232" s="17">
        <f t="shared" ref="E232:F235" si="66">E233</f>
        <v>299</v>
      </c>
      <c r="F232" s="17">
        <f t="shared" si="66"/>
        <v>81</v>
      </c>
    </row>
    <row r="233" spans="1:6">
      <c r="A233" s="219" t="s">
        <v>47</v>
      </c>
      <c r="B233" s="219">
        <v>2610100000</v>
      </c>
      <c r="C233" s="219"/>
      <c r="D233" s="225" t="s">
        <v>103</v>
      </c>
      <c r="E233" s="17">
        <f t="shared" si="66"/>
        <v>299</v>
      </c>
      <c r="F233" s="17">
        <f t="shared" si="66"/>
        <v>81</v>
      </c>
    </row>
    <row r="234" spans="1:6" ht="31.5">
      <c r="A234" s="219" t="s">
        <v>47</v>
      </c>
      <c r="B234" s="219">
        <v>2610120240</v>
      </c>
      <c r="C234" s="219"/>
      <c r="D234" s="225" t="s">
        <v>106</v>
      </c>
      <c r="E234" s="17">
        <f t="shared" si="66"/>
        <v>299</v>
      </c>
      <c r="F234" s="17">
        <f t="shared" si="66"/>
        <v>81</v>
      </c>
    </row>
    <row r="235" spans="1:6" ht="31.5">
      <c r="A235" s="219" t="s">
        <v>47</v>
      </c>
      <c r="B235" s="219">
        <v>2610120240</v>
      </c>
      <c r="C235" s="219" t="s">
        <v>67</v>
      </c>
      <c r="D235" s="225" t="s">
        <v>90</v>
      </c>
      <c r="E235" s="17">
        <f t="shared" si="66"/>
        <v>299</v>
      </c>
      <c r="F235" s="17">
        <f t="shared" si="66"/>
        <v>81</v>
      </c>
    </row>
    <row r="236" spans="1:6" ht="31.5">
      <c r="A236" s="219" t="s">
        <v>47</v>
      </c>
      <c r="B236" s="219">
        <v>2610120240</v>
      </c>
      <c r="C236" s="224">
        <v>240</v>
      </c>
      <c r="D236" s="225" t="s">
        <v>216</v>
      </c>
      <c r="E236" s="17">
        <f>'№ 6 ведом'!F599</f>
        <v>299</v>
      </c>
      <c r="F236" s="17">
        <f>'№ 6 ведом'!G599</f>
        <v>81</v>
      </c>
    </row>
    <row r="237" spans="1:6" ht="31.5">
      <c r="A237" s="224" t="s">
        <v>47</v>
      </c>
      <c r="B237" s="219">
        <v>2640000000</v>
      </c>
      <c r="C237" s="109"/>
      <c r="D237" s="225" t="s">
        <v>395</v>
      </c>
      <c r="E237" s="17">
        <f>E238</f>
        <v>29.7</v>
      </c>
      <c r="F237" s="17">
        <f t="shared" ref="F237:F240" si="67">F238</f>
        <v>29.7</v>
      </c>
    </row>
    <row r="238" spans="1:6" ht="31.5">
      <c r="A238" s="224" t="s">
        <v>47</v>
      </c>
      <c r="B238" s="219">
        <v>2640300000</v>
      </c>
      <c r="C238" s="78"/>
      <c r="D238" s="225" t="s">
        <v>396</v>
      </c>
      <c r="E238" s="17">
        <f>E239</f>
        <v>29.7</v>
      </c>
      <c r="F238" s="17">
        <f t="shared" si="67"/>
        <v>29.7</v>
      </c>
    </row>
    <row r="239" spans="1:6" ht="31.5">
      <c r="A239" s="224" t="s">
        <v>47</v>
      </c>
      <c r="B239" s="219">
        <v>2640320210</v>
      </c>
      <c r="C239" s="78"/>
      <c r="D239" s="410" t="s">
        <v>397</v>
      </c>
      <c r="E239" s="17">
        <f>E240</f>
        <v>29.7</v>
      </c>
      <c r="F239" s="17">
        <f t="shared" si="67"/>
        <v>29.7</v>
      </c>
    </row>
    <row r="240" spans="1:6" ht="31.5">
      <c r="A240" s="224" t="s">
        <v>47</v>
      </c>
      <c r="B240" s="219">
        <v>2640320210</v>
      </c>
      <c r="C240" s="109" t="s">
        <v>67</v>
      </c>
      <c r="D240" s="225" t="s">
        <v>90</v>
      </c>
      <c r="E240" s="17">
        <f>E241</f>
        <v>29.7</v>
      </c>
      <c r="F240" s="17">
        <f t="shared" si="67"/>
        <v>29.7</v>
      </c>
    </row>
    <row r="241" spans="1:6" ht="31.5">
      <c r="A241" s="224" t="s">
        <v>47</v>
      </c>
      <c r="B241" s="219">
        <v>2640320210</v>
      </c>
      <c r="C241" s="78">
        <v>240</v>
      </c>
      <c r="D241" s="225" t="s">
        <v>216</v>
      </c>
      <c r="E241" s="17">
        <f>'№ 6 ведом'!F187</f>
        <v>29.7</v>
      </c>
      <c r="F241" s="17">
        <f>'№ 6 ведом'!G187</f>
        <v>29.7</v>
      </c>
    </row>
    <row r="242" spans="1:6">
      <c r="A242" s="4" t="s">
        <v>56</v>
      </c>
      <c r="B242" s="4" t="s">
        <v>64</v>
      </c>
      <c r="C242" s="79" t="s">
        <v>64</v>
      </c>
      <c r="D242" s="19" t="s">
        <v>27</v>
      </c>
      <c r="E242" s="60">
        <f>E243+E268+E250</f>
        <v>234994.5</v>
      </c>
      <c r="F242" s="60">
        <f>F243+F268+F250</f>
        <v>103996.70000000001</v>
      </c>
    </row>
    <row r="243" spans="1:6">
      <c r="A243" s="219" t="s">
        <v>4</v>
      </c>
      <c r="B243" s="219" t="s">
        <v>64</v>
      </c>
      <c r="C243" s="109" t="s">
        <v>64</v>
      </c>
      <c r="D243" s="225" t="s">
        <v>5</v>
      </c>
      <c r="E243" s="17">
        <f t="shared" ref="E243:F248" si="68">E244</f>
        <v>3217.6</v>
      </c>
      <c r="F243" s="17">
        <f t="shared" si="68"/>
        <v>3006.8</v>
      </c>
    </row>
    <row r="244" spans="1:6" ht="47.25">
      <c r="A244" s="219" t="s">
        <v>4</v>
      </c>
      <c r="B244" s="219">
        <v>2600000000</v>
      </c>
      <c r="C244" s="219"/>
      <c r="D244" s="225" t="s">
        <v>316</v>
      </c>
      <c r="E244" s="17">
        <f t="shared" si="68"/>
        <v>3217.6</v>
      </c>
      <c r="F244" s="17">
        <f t="shared" si="68"/>
        <v>3006.8</v>
      </c>
    </row>
    <row r="245" spans="1:6" ht="31.5">
      <c r="A245" s="219" t="s">
        <v>4</v>
      </c>
      <c r="B245" s="219">
        <v>2610000000</v>
      </c>
      <c r="C245" s="219"/>
      <c r="D245" s="225" t="s">
        <v>102</v>
      </c>
      <c r="E245" s="17">
        <f t="shared" si="68"/>
        <v>3217.6</v>
      </c>
      <c r="F245" s="17">
        <f t="shared" si="68"/>
        <v>3006.8</v>
      </c>
    </row>
    <row r="246" spans="1:6">
      <c r="A246" s="219" t="s">
        <v>4</v>
      </c>
      <c r="B246" s="219">
        <v>2610100000</v>
      </c>
      <c r="C246" s="219"/>
      <c r="D246" s="225" t="s">
        <v>103</v>
      </c>
      <c r="E246" s="17">
        <f t="shared" si="68"/>
        <v>3217.6</v>
      </c>
      <c r="F246" s="17">
        <f t="shared" si="68"/>
        <v>3006.8</v>
      </c>
    </row>
    <row r="247" spans="1:6" ht="47.25">
      <c r="A247" s="219" t="s">
        <v>4</v>
      </c>
      <c r="B247" s="219">
        <v>2610120230</v>
      </c>
      <c r="C247" s="219"/>
      <c r="D247" s="225" t="s">
        <v>108</v>
      </c>
      <c r="E247" s="17">
        <f t="shared" si="68"/>
        <v>3217.6</v>
      </c>
      <c r="F247" s="17">
        <f t="shared" si="68"/>
        <v>3006.8</v>
      </c>
    </row>
    <row r="248" spans="1:6" ht="31.5">
      <c r="A248" s="219" t="s">
        <v>4</v>
      </c>
      <c r="B248" s="219">
        <v>2610120230</v>
      </c>
      <c r="C248" s="219" t="s">
        <v>67</v>
      </c>
      <c r="D248" s="225" t="s">
        <v>90</v>
      </c>
      <c r="E248" s="17">
        <f t="shared" si="68"/>
        <v>3217.6</v>
      </c>
      <c r="F248" s="17">
        <f t="shared" si="68"/>
        <v>3006.8</v>
      </c>
    </row>
    <row r="249" spans="1:6" ht="31.5">
      <c r="A249" s="219" t="s">
        <v>4</v>
      </c>
      <c r="B249" s="219">
        <v>2610120230</v>
      </c>
      <c r="C249" s="224">
        <v>240</v>
      </c>
      <c r="D249" s="225" t="s">
        <v>216</v>
      </c>
      <c r="E249" s="17">
        <f>'№ 6 ведом'!F607</f>
        <v>3217.6</v>
      </c>
      <c r="F249" s="17">
        <f>'№ 6 ведом'!G607</f>
        <v>3006.8</v>
      </c>
    </row>
    <row r="250" spans="1:6">
      <c r="A250" s="22" t="s">
        <v>228</v>
      </c>
      <c r="B250" s="224"/>
      <c r="C250" s="224"/>
      <c r="D250" s="227" t="s">
        <v>229</v>
      </c>
      <c r="E250" s="17">
        <f>E251+E263</f>
        <v>151001.4</v>
      </c>
      <c r="F250" s="17">
        <f t="shared" ref="F250" si="69">F251+F263</f>
        <v>24273.9</v>
      </c>
    </row>
    <row r="251" spans="1:6" ht="47.25">
      <c r="A251" s="22" t="s">
        <v>228</v>
      </c>
      <c r="B251" s="219">
        <v>2400000000</v>
      </c>
      <c r="C251" s="224"/>
      <c r="D251" s="56" t="s">
        <v>314</v>
      </c>
      <c r="E251" s="17">
        <f t="shared" ref="E251:F252" si="70">E252</f>
        <v>150828.5</v>
      </c>
      <c r="F251" s="17">
        <f t="shared" si="70"/>
        <v>24101</v>
      </c>
    </row>
    <row r="252" spans="1:6" ht="31.5">
      <c r="A252" s="22" t="s">
        <v>228</v>
      </c>
      <c r="B252" s="219">
        <v>2430000000</v>
      </c>
      <c r="C252" s="224"/>
      <c r="D252" s="8" t="s">
        <v>332</v>
      </c>
      <c r="E252" s="17">
        <f t="shared" si="70"/>
        <v>150828.5</v>
      </c>
      <c r="F252" s="17">
        <f t="shared" si="70"/>
        <v>24101</v>
      </c>
    </row>
    <row r="253" spans="1:6" ht="31.5">
      <c r="A253" s="22" t="s">
        <v>228</v>
      </c>
      <c r="B253" s="224">
        <v>2430100000</v>
      </c>
      <c r="C253" s="224"/>
      <c r="D253" s="8" t="s">
        <v>333</v>
      </c>
      <c r="E253" s="17">
        <f>E260+E257+E254</f>
        <v>150828.5</v>
      </c>
      <c r="F253" s="17">
        <f>F260+F257+F254</f>
        <v>24101</v>
      </c>
    </row>
    <row r="254" spans="1:6" ht="31.5">
      <c r="A254" s="22" t="s">
        <v>228</v>
      </c>
      <c r="B254" s="224">
        <v>2430110110</v>
      </c>
      <c r="C254" s="224"/>
      <c r="D254" s="42" t="s">
        <v>355</v>
      </c>
      <c r="E254" s="17">
        <f>E255</f>
        <v>114167.6</v>
      </c>
      <c r="F254" s="17">
        <f t="shared" ref="F254:F255" si="71">F255</f>
        <v>16508.7</v>
      </c>
    </row>
    <row r="255" spans="1:6" ht="31.5">
      <c r="A255" s="22" t="s">
        <v>228</v>
      </c>
      <c r="B255" s="224">
        <v>2430110110</v>
      </c>
      <c r="C255" s="219" t="s">
        <v>70</v>
      </c>
      <c r="D255" s="56" t="s">
        <v>91</v>
      </c>
      <c r="E255" s="17">
        <f>E256</f>
        <v>114167.6</v>
      </c>
      <c r="F255" s="17">
        <f t="shared" si="71"/>
        <v>16508.7</v>
      </c>
    </row>
    <row r="256" spans="1:6">
      <c r="A256" s="22" t="s">
        <v>228</v>
      </c>
      <c r="B256" s="224">
        <v>2430110110</v>
      </c>
      <c r="C256" s="219" t="s">
        <v>114</v>
      </c>
      <c r="D256" s="56" t="s">
        <v>115</v>
      </c>
      <c r="E256" s="17">
        <f>'№ 6 ведом'!F194</f>
        <v>114167.6</v>
      </c>
      <c r="F256" s="17">
        <f>'№ 6 ведом'!G194</f>
        <v>16508.7</v>
      </c>
    </row>
    <row r="257" spans="1:6">
      <c r="A257" s="22" t="s">
        <v>228</v>
      </c>
      <c r="B257" s="224">
        <v>2430120100</v>
      </c>
      <c r="C257" s="224"/>
      <c r="D257" s="42" t="s">
        <v>286</v>
      </c>
      <c r="E257" s="17">
        <f>E258</f>
        <v>8119</v>
      </c>
      <c r="F257" s="17">
        <f t="shared" ref="F257" si="72">F258</f>
        <v>3465.2</v>
      </c>
    </row>
    <row r="258" spans="1:6" ht="31.5">
      <c r="A258" s="22" t="s">
        <v>228</v>
      </c>
      <c r="B258" s="224">
        <v>2430120100</v>
      </c>
      <c r="C258" s="219" t="s">
        <v>70</v>
      </c>
      <c r="D258" s="56" t="s">
        <v>91</v>
      </c>
      <c r="E258" s="17">
        <f t="shared" ref="E258:F258" si="73">E259</f>
        <v>8119</v>
      </c>
      <c r="F258" s="17">
        <f t="shared" si="73"/>
        <v>3465.2</v>
      </c>
    </row>
    <row r="259" spans="1:6">
      <c r="A259" s="22" t="s">
        <v>228</v>
      </c>
      <c r="B259" s="224">
        <v>2430120100</v>
      </c>
      <c r="C259" s="219" t="s">
        <v>114</v>
      </c>
      <c r="D259" s="56" t="s">
        <v>115</v>
      </c>
      <c r="E259" s="17">
        <f>'№ 6 ведом'!F198</f>
        <v>8119</v>
      </c>
      <c r="F259" s="17">
        <f>'№ 6 ведом'!G198</f>
        <v>3465.2</v>
      </c>
    </row>
    <row r="260" spans="1:6" ht="31.5">
      <c r="A260" s="22" t="s">
        <v>228</v>
      </c>
      <c r="B260" s="224" t="s">
        <v>294</v>
      </c>
      <c r="C260" s="224"/>
      <c r="D260" s="42" t="s">
        <v>274</v>
      </c>
      <c r="E260" s="17">
        <f t="shared" ref="E260:F261" si="74">E261</f>
        <v>28541.9</v>
      </c>
      <c r="F260" s="17">
        <f t="shared" si="74"/>
        <v>4127.1000000000004</v>
      </c>
    </row>
    <row r="261" spans="1:6" ht="31.5">
      <c r="A261" s="22" t="s">
        <v>228</v>
      </c>
      <c r="B261" s="224" t="s">
        <v>294</v>
      </c>
      <c r="C261" s="219" t="s">
        <v>70</v>
      </c>
      <c r="D261" s="56" t="s">
        <v>91</v>
      </c>
      <c r="E261" s="17">
        <f t="shared" si="74"/>
        <v>28541.9</v>
      </c>
      <c r="F261" s="17">
        <f t="shared" si="74"/>
        <v>4127.1000000000004</v>
      </c>
    </row>
    <row r="262" spans="1:6">
      <c r="A262" s="22" t="s">
        <v>228</v>
      </c>
      <c r="B262" s="224" t="s">
        <v>294</v>
      </c>
      <c r="C262" s="219" t="s">
        <v>114</v>
      </c>
      <c r="D262" s="56" t="s">
        <v>115</v>
      </c>
      <c r="E262" s="17">
        <f>'№ 6 ведом'!F201</f>
        <v>28541.9</v>
      </c>
      <c r="F262" s="17">
        <f>'№ 6 ведом'!G201</f>
        <v>4127.1000000000004</v>
      </c>
    </row>
    <row r="263" spans="1:6">
      <c r="A263" s="22" t="s">
        <v>228</v>
      </c>
      <c r="B263" s="224">
        <v>9900000000</v>
      </c>
      <c r="C263" s="224"/>
      <c r="D263" s="225" t="s">
        <v>100</v>
      </c>
      <c r="E263" s="17">
        <f>E264</f>
        <v>172.9</v>
      </c>
      <c r="F263" s="17">
        <f t="shared" ref="F263:F266" si="75">F264</f>
        <v>172.9</v>
      </c>
    </row>
    <row r="264" spans="1:6">
      <c r="A264" s="22" t="s">
        <v>228</v>
      </c>
      <c r="B264" s="224">
        <v>9910000000</v>
      </c>
      <c r="C264" s="224"/>
      <c r="D264" s="225" t="s">
        <v>8</v>
      </c>
      <c r="E264" s="17">
        <f>E265</f>
        <v>172.9</v>
      </c>
      <c r="F264" s="17">
        <f t="shared" si="75"/>
        <v>172.9</v>
      </c>
    </row>
    <row r="265" spans="1:6">
      <c r="A265" s="22" t="s">
        <v>228</v>
      </c>
      <c r="B265" s="224">
        <v>9910020000</v>
      </c>
      <c r="C265" s="224"/>
      <c r="D265" s="225" t="s">
        <v>276</v>
      </c>
      <c r="E265" s="17">
        <f>E266</f>
        <v>172.9</v>
      </c>
      <c r="F265" s="17">
        <f t="shared" si="75"/>
        <v>172.9</v>
      </c>
    </row>
    <row r="266" spans="1:6" ht="31.5">
      <c r="A266" s="22" t="s">
        <v>228</v>
      </c>
      <c r="B266" s="224">
        <v>9910000000</v>
      </c>
      <c r="C266" s="219" t="s">
        <v>67</v>
      </c>
      <c r="D266" s="56" t="s">
        <v>90</v>
      </c>
      <c r="E266" s="17">
        <f>E267</f>
        <v>172.9</v>
      </c>
      <c r="F266" s="17">
        <f t="shared" si="75"/>
        <v>172.9</v>
      </c>
    </row>
    <row r="267" spans="1:6" ht="31.5">
      <c r="A267" s="22" t="s">
        <v>228</v>
      </c>
      <c r="B267" s="224">
        <v>9910020000</v>
      </c>
      <c r="C267" s="224">
        <v>240</v>
      </c>
      <c r="D267" s="56" t="s">
        <v>216</v>
      </c>
      <c r="E267" s="17">
        <f>'№ 6 ведом'!F206</f>
        <v>172.9</v>
      </c>
      <c r="F267" s="17">
        <f>'№ 6 ведом'!G206</f>
        <v>172.9</v>
      </c>
    </row>
    <row r="268" spans="1:6">
      <c r="A268" s="224" t="s">
        <v>48</v>
      </c>
      <c r="B268" s="224" t="s">
        <v>64</v>
      </c>
      <c r="C268" s="224" t="s">
        <v>64</v>
      </c>
      <c r="D268" s="49" t="s">
        <v>28</v>
      </c>
      <c r="E268" s="17">
        <f>E269+E344</f>
        <v>80775.500000000015</v>
      </c>
      <c r="F268" s="17">
        <f>F269+F344</f>
        <v>76716</v>
      </c>
    </row>
    <row r="269" spans="1:6" ht="47.25">
      <c r="A269" s="224" t="s">
        <v>48</v>
      </c>
      <c r="B269" s="219">
        <v>2300000000</v>
      </c>
      <c r="C269" s="224"/>
      <c r="D269" s="49" t="s">
        <v>315</v>
      </c>
      <c r="E269" s="17">
        <f>E270+E285+E332</f>
        <v>80026.400000000009</v>
      </c>
      <c r="F269" s="17">
        <f>F270+F285+F332</f>
        <v>75966.899999999994</v>
      </c>
    </row>
    <row r="270" spans="1:6" ht="47.25">
      <c r="A270" s="224" t="s">
        <v>48</v>
      </c>
      <c r="B270" s="219">
        <v>2310000000</v>
      </c>
      <c r="C270" s="224"/>
      <c r="D270" s="49" t="s">
        <v>205</v>
      </c>
      <c r="E270" s="21">
        <f>E271+E278</f>
        <v>18110.8</v>
      </c>
      <c r="F270" s="21">
        <f t="shared" ref="F270" si="76">F271+F278</f>
        <v>17943.5</v>
      </c>
    </row>
    <row r="271" spans="1:6" ht="47.25">
      <c r="A271" s="224" t="s">
        <v>48</v>
      </c>
      <c r="B271" s="219" t="s">
        <v>295</v>
      </c>
      <c r="C271" s="24"/>
      <c r="D271" s="225" t="s">
        <v>222</v>
      </c>
      <c r="E271" s="21">
        <f>E275+E272</f>
        <v>16509</v>
      </c>
      <c r="F271" s="21">
        <f>F275+F272</f>
        <v>16509</v>
      </c>
    </row>
    <row r="272" spans="1:6">
      <c r="A272" s="224" t="s">
        <v>48</v>
      </c>
      <c r="B272" s="224" t="s">
        <v>296</v>
      </c>
      <c r="C272" s="224"/>
      <c r="D272" s="62" t="s">
        <v>223</v>
      </c>
      <c r="E272" s="21">
        <f t="shared" ref="E272:F273" si="77">E273</f>
        <v>990.09999999999991</v>
      </c>
      <c r="F272" s="21">
        <f t="shared" si="77"/>
        <v>990.1</v>
      </c>
    </row>
    <row r="273" spans="1:6" ht="31.5">
      <c r="A273" s="224" t="s">
        <v>48</v>
      </c>
      <c r="B273" s="224" t="s">
        <v>296</v>
      </c>
      <c r="C273" s="219" t="s">
        <v>67</v>
      </c>
      <c r="D273" s="56" t="s">
        <v>90</v>
      </c>
      <c r="E273" s="21">
        <f t="shared" si="77"/>
        <v>990.09999999999991</v>
      </c>
      <c r="F273" s="21">
        <f t="shared" si="77"/>
        <v>990.1</v>
      </c>
    </row>
    <row r="274" spans="1:6" ht="31.5">
      <c r="A274" s="224" t="s">
        <v>48</v>
      </c>
      <c r="B274" s="224" t="s">
        <v>296</v>
      </c>
      <c r="C274" s="224">
        <v>240</v>
      </c>
      <c r="D274" s="56" t="s">
        <v>216</v>
      </c>
      <c r="E274" s="21">
        <f>'№ 6 ведом'!F213</f>
        <v>990.09999999999991</v>
      </c>
      <c r="F274" s="21">
        <f>'№ 6 ведом'!G213</f>
        <v>990.1</v>
      </c>
    </row>
    <row r="275" spans="1:6" ht="31.5">
      <c r="A275" s="224" t="s">
        <v>48</v>
      </c>
      <c r="B275" s="219" t="s">
        <v>297</v>
      </c>
      <c r="C275" s="224"/>
      <c r="D275" s="97" t="s">
        <v>214</v>
      </c>
      <c r="E275" s="21">
        <f t="shared" ref="E275:F276" si="78">E276</f>
        <v>15518.900000000001</v>
      </c>
      <c r="F275" s="21">
        <f t="shared" si="78"/>
        <v>15518.9</v>
      </c>
    </row>
    <row r="276" spans="1:6" ht="31.5">
      <c r="A276" s="224" t="s">
        <v>48</v>
      </c>
      <c r="B276" s="219" t="s">
        <v>297</v>
      </c>
      <c r="C276" s="219" t="s">
        <v>67</v>
      </c>
      <c r="D276" s="225" t="s">
        <v>90</v>
      </c>
      <c r="E276" s="21">
        <f t="shared" si="78"/>
        <v>15518.900000000001</v>
      </c>
      <c r="F276" s="21">
        <f t="shared" si="78"/>
        <v>15518.9</v>
      </c>
    </row>
    <row r="277" spans="1:6" ht="31.5">
      <c r="A277" s="224" t="s">
        <v>48</v>
      </c>
      <c r="B277" s="219" t="s">
        <v>297</v>
      </c>
      <c r="C277" s="224">
        <v>240</v>
      </c>
      <c r="D277" s="225" t="s">
        <v>216</v>
      </c>
      <c r="E277" s="21">
        <f>'№ 6 ведом'!F216</f>
        <v>15518.900000000001</v>
      </c>
      <c r="F277" s="21">
        <f>'№ 6 ведом'!G216</f>
        <v>15518.9</v>
      </c>
    </row>
    <row r="278" spans="1:6" ht="31.5">
      <c r="A278" s="224" t="s">
        <v>48</v>
      </c>
      <c r="B278" s="219">
        <v>2310100000</v>
      </c>
      <c r="C278" s="224"/>
      <c r="D278" s="269" t="s">
        <v>343</v>
      </c>
      <c r="E278" s="21">
        <f>E279+E282</f>
        <v>1601.8000000000002</v>
      </c>
      <c r="F278" s="21">
        <f t="shared" ref="F278" si="79">F279+F282</f>
        <v>1434.5</v>
      </c>
    </row>
    <row r="279" spans="1:6">
      <c r="A279" s="224" t="s">
        <v>48</v>
      </c>
      <c r="B279" s="219">
        <v>2310111180</v>
      </c>
      <c r="C279" s="224"/>
      <c r="D279" s="71" t="s">
        <v>344</v>
      </c>
      <c r="E279" s="21">
        <f>E280</f>
        <v>1000</v>
      </c>
      <c r="F279" s="21">
        <f t="shared" ref="F279:F280" si="80">F280</f>
        <v>920.7</v>
      </c>
    </row>
    <row r="280" spans="1:6" ht="31.5">
      <c r="A280" s="224" t="s">
        <v>48</v>
      </c>
      <c r="B280" s="219">
        <v>2310111180</v>
      </c>
      <c r="C280" s="219" t="s">
        <v>67</v>
      </c>
      <c r="D280" s="225" t="s">
        <v>90</v>
      </c>
      <c r="E280" s="21">
        <f>E281</f>
        <v>1000</v>
      </c>
      <c r="F280" s="21">
        <f t="shared" si="80"/>
        <v>920.7</v>
      </c>
    </row>
    <row r="281" spans="1:6" ht="31.5">
      <c r="A281" s="224" t="s">
        <v>48</v>
      </c>
      <c r="B281" s="219">
        <v>2310111180</v>
      </c>
      <c r="C281" s="224">
        <v>240</v>
      </c>
      <c r="D281" s="225" t="s">
        <v>216</v>
      </c>
      <c r="E281" s="21">
        <f>'№ 6 ведом'!F220</f>
        <v>1000</v>
      </c>
      <c r="F281" s="21">
        <f>'№ 6 ведом'!G220</f>
        <v>920.7</v>
      </c>
    </row>
    <row r="282" spans="1:6">
      <c r="A282" s="224" t="s">
        <v>48</v>
      </c>
      <c r="B282" s="219">
        <v>2310120100</v>
      </c>
      <c r="C282" s="224"/>
      <c r="D282" s="225" t="s">
        <v>223</v>
      </c>
      <c r="E282" s="21">
        <f>E283</f>
        <v>601.80000000000007</v>
      </c>
      <c r="F282" s="21">
        <f t="shared" ref="F282:F283" si="81">F283</f>
        <v>513.79999999999995</v>
      </c>
    </row>
    <row r="283" spans="1:6" ht="31.5">
      <c r="A283" s="224" t="s">
        <v>48</v>
      </c>
      <c r="B283" s="219">
        <v>2310120100</v>
      </c>
      <c r="C283" s="219" t="s">
        <v>67</v>
      </c>
      <c r="D283" s="225" t="s">
        <v>90</v>
      </c>
      <c r="E283" s="21">
        <f>E284</f>
        <v>601.80000000000007</v>
      </c>
      <c r="F283" s="21">
        <f t="shared" si="81"/>
        <v>513.79999999999995</v>
      </c>
    </row>
    <row r="284" spans="1:6" ht="31.5">
      <c r="A284" s="224" t="s">
        <v>48</v>
      </c>
      <c r="B284" s="219">
        <v>2310120100</v>
      </c>
      <c r="C284" s="224">
        <v>240</v>
      </c>
      <c r="D284" s="225" t="s">
        <v>216</v>
      </c>
      <c r="E284" s="21">
        <f>'№ 6 ведом'!F223</f>
        <v>601.80000000000007</v>
      </c>
      <c r="F284" s="21">
        <f>'№ 6 ведом'!G223</f>
        <v>513.79999999999995</v>
      </c>
    </row>
    <row r="285" spans="1:6">
      <c r="A285" s="224" t="s">
        <v>48</v>
      </c>
      <c r="B285" s="219">
        <v>2320000000</v>
      </c>
      <c r="C285" s="224"/>
      <c r="D285" s="49" t="s">
        <v>174</v>
      </c>
      <c r="E285" s="21">
        <f>E302+E286+E328+E324</f>
        <v>58901.100000000006</v>
      </c>
      <c r="F285" s="21">
        <f>F302+F286+F328+F324</f>
        <v>55613.399999999994</v>
      </c>
    </row>
    <row r="286" spans="1:6" ht="31.5">
      <c r="A286" s="224" t="s">
        <v>48</v>
      </c>
      <c r="B286" s="219">
        <v>2320100000</v>
      </c>
      <c r="C286" s="224"/>
      <c r="D286" s="225" t="s">
        <v>338</v>
      </c>
      <c r="E286" s="21">
        <f>E296+E287+E293+E299+E290</f>
        <v>2945.8</v>
      </c>
      <c r="F286" s="21">
        <f t="shared" ref="F286" si="82">F296+F287+F293+F299+F290</f>
        <v>2894.9</v>
      </c>
    </row>
    <row r="287" spans="1:6" ht="78.75">
      <c r="A287" s="224" t="s">
        <v>48</v>
      </c>
      <c r="B287" s="224">
        <v>2320119020</v>
      </c>
      <c r="C287" s="224"/>
      <c r="D287" s="401" t="s">
        <v>356</v>
      </c>
      <c r="E287" s="21">
        <f>E288</f>
        <v>539.20000000000005</v>
      </c>
      <c r="F287" s="21">
        <f t="shared" ref="F287:F288" si="83">F288</f>
        <v>539.20000000000005</v>
      </c>
    </row>
    <row r="288" spans="1:6" ht="31.5">
      <c r="A288" s="224" t="s">
        <v>48</v>
      </c>
      <c r="B288" s="224">
        <v>2320119020</v>
      </c>
      <c r="C288" s="219" t="s">
        <v>67</v>
      </c>
      <c r="D288" s="225" t="s">
        <v>90</v>
      </c>
      <c r="E288" s="21">
        <f>E289</f>
        <v>539.20000000000005</v>
      </c>
      <c r="F288" s="21">
        <f t="shared" si="83"/>
        <v>539.20000000000005</v>
      </c>
    </row>
    <row r="289" spans="1:6" ht="31.5">
      <c r="A289" s="224" t="s">
        <v>48</v>
      </c>
      <c r="B289" s="224">
        <v>2320119020</v>
      </c>
      <c r="C289" s="224">
        <v>240</v>
      </c>
      <c r="D289" s="225" t="s">
        <v>216</v>
      </c>
      <c r="E289" s="21">
        <f>'№ 6 ведом'!F228</f>
        <v>539.20000000000005</v>
      </c>
      <c r="F289" s="21">
        <f>'№ 6 ведом'!G228</f>
        <v>539.20000000000005</v>
      </c>
    </row>
    <row r="290" spans="1:6" ht="78.75">
      <c r="A290" s="224" t="s">
        <v>48</v>
      </c>
      <c r="B290" s="224">
        <v>2320119040</v>
      </c>
      <c r="C290" s="224"/>
      <c r="D290" s="401" t="s">
        <v>383</v>
      </c>
      <c r="E290" s="21">
        <f>E291</f>
        <v>586.90000000000009</v>
      </c>
      <c r="F290" s="21">
        <f t="shared" ref="F290:F291" si="84">F291</f>
        <v>586.9</v>
      </c>
    </row>
    <row r="291" spans="1:6" ht="31.5">
      <c r="A291" s="224" t="s">
        <v>48</v>
      </c>
      <c r="B291" s="224">
        <v>2320119040</v>
      </c>
      <c r="C291" s="219" t="s">
        <v>67</v>
      </c>
      <c r="D291" s="225" t="s">
        <v>90</v>
      </c>
      <c r="E291" s="21">
        <f>E292</f>
        <v>586.90000000000009</v>
      </c>
      <c r="F291" s="21">
        <f t="shared" si="84"/>
        <v>586.9</v>
      </c>
    </row>
    <row r="292" spans="1:6" ht="31.5">
      <c r="A292" s="224" t="s">
        <v>48</v>
      </c>
      <c r="B292" s="224">
        <v>2320119040</v>
      </c>
      <c r="C292" s="224">
        <v>240</v>
      </c>
      <c r="D292" s="225" t="s">
        <v>216</v>
      </c>
      <c r="E292" s="21">
        <f>'№ 6 ведом'!F231</f>
        <v>586.90000000000009</v>
      </c>
      <c r="F292" s="21">
        <f>'№ 6 ведом'!G231</f>
        <v>586.9</v>
      </c>
    </row>
    <row r="293" spans="1:6">
      <c r="A293" s="224" t="s">
        <v>48</v>
      </c>
      <c r="B293" s="219">
        <v>2320120100</v>
      </c>
      <c r="C293" s="224"/>
      <c r="D293" s="225" t="s">
        <v>223</v>
      </c>
      <c r="E293" s="21">
        <f>E294</f>
        <v>1483.0000000000002</v>
      </c>
      <c r="F293" s="21">
        <f t="shared" ref="F293:F294" si="85">F294</f>
        <v>1432.1</v>
      </c>
    </row>
    <row r="294" spans="1:6" ht="31.5">
      <c r="A294" s="224" t="s">
        <v>48</v>
      </c>
      <c r="B294" s="219">
        <v>2320120100</v>
      </c>
      <c r="C294" s="219" t="s">
        <v>67</v>
      </c>
      <c r="D294" s="225" t="s">
        <v>90</v>
      </c>
      <c r="E294" s="21">
        <f>E295</f>
        <v>1483.0000000000002</v>
      </c>
      <c r="F294" s="21">
        <f t="shared" si="85"/>
        <v>1432.1</v>
      </c>
    </row>
    <row r="295" spans="1:6" ht="31.5">
      <c r="A295" s="224" t="s">
        <v>48</v>
      </c>
      <c r="B295" s="219">
        <v>2320120100</v>
      </c>
      <c r="C295" s="224">
        <v>240</v>
      </c>
      <c r="D295" s="225" t="s">
        <v>216</v>
      </c>
      <c r="E295" s="21">
        <f>'№ 6 ведом'!F234</f>
        <v>1483.0000000000002</v>
      </c>
      <c r="F295" s="21">
        <f>'№ 6 ведом'!G234</f>
        <v>1432.1</v>
      </c>
    </row>
    <row r="296" spans="1:6" ht="78.75">
      <c r="A296" s="224" t="s">
        <v>48</v>
      </c>
      <c r="B296" s="224" t="s">
        <v>319</v>
      </c>
      <c r="C296" s="224"/>
      <c r="D296" s="225" t="s">
        <v>354</v>
      </c>
      <c r="E296" s="21">
        <f t="shared" ref="E296:F297" si="86">E297</f>
        <v>231.1</v>
      </c>
      <c r="F296" s="21">
        <f t="shared" si="86"/>
        <v>231.1</v>
      </c>
    </row>
    <row r="297" spans="1:6" ht="31.5">
      <c r="A297" s="224" t="s">
        <v>48</v>
      </c>
      <c r="B297" s="224" t="s">
        <v>319</v>
      </c>
      <c r="C297" s="219" t="s">
        <v>67</v>
      </c>
      <c r="D297" s="225" t="s">
        <v>90</v>
      </c>
      <c r="E297" s="21">
        <f t="shared" si="86"/>
        <v>231.1</v>
      </c>
      <c r="F297" s="21">
        <f t="shared" si="86"/>
        <v>231.1</v>
      </c>
    </row>
    <row r="298" spans="1:6" ht="31.5">
      <c r="A298" s="224" t="s">
        <v>48</v>
      </c>
      <c r="B298" s="224" t="s">
        <v>319</v>
      </c>
      <c r="C298" s="224">
        <v>240</v>
      </c>
      <c r="D298" s="225" t="s">
        <v>216</v>
      </c>
      <c r="E298" s="21">
        <f>'№ 6 ведом'!F237</f>
        <v>231.1</v>
      </c>
      <c r="F298" s="21">
        <f>'№ 6 ведом'!G237</f>
        <v>231.1</v>
      </c>
    </row>
    <row r="299" spans="1:6" ht="78.75">
      <c r="A299" s="224" t="s">
        <v>48</v>
      </c>
      <c r="B299" s="224" t="s">
        <v>379</v>
      </c>
      <c r="C299" s="224"/>
      <c r="D299" s="274" t="s">
        <v>380</v>
      </c>
      <c r="E299" s="21">
        <f>E300</f>
        <v>105.6</v>
      </c>
      <c r="F299" s="21">
        <f t="shared" ref="F299:F300" si="87">F300</f>
        <v>105.6</v>
      </c>
    </row>
    <row r="300" spans="1:6" ht="31.5">
      <c r="A300" s="224" t="s">
        <v>48</v>
      </c>
      <c r="B300" s="224" t="s">
        <v>379</v>
      </c>
      <c r="C300" s="219" t="s">
        <v>67</v>
      </c>
      <c r="D300" s="225" t="s">
        <v>90</v>
      </c>
      <c r="E300" s="21">
        <f>E301</f>
        <v>105.6</v>
      </c>
      <c r="F300" s="21">
        <f t="shared" si="87"/>
        <v>105.6</v>
      </c>
    </row>
    <row r="301" spans="1:6" ht="31.5">
      <c r="A301" s="224" t="s">
        <v>48</v>
      </c>
      <c r="B301" s="224" t="s">
        <v>379</v>
      </c>
      <c r="C301" s="224">
        <v>240</v>
      </c>
      <c r="D301" s="225" t="s">
        <v>216</v>
      </c>
      <c r="E301" s="21">
        <f>'№ 6 ведом'!F240</f>
        <v>105.6</v>
      </c>
      <c r="F301" s="21">
        <f>'№ 6 ведом'!G240</f>
        <v>105.6</v>
      </c>
    </row>
    <row r="302" spans="1:6">
      <c r="A302" s="224" t="s">
        <v>48</v>
      </c>
      <c r="B302" s="219">
        <v>2320200000</v>
      </c>
      <c r="C302" s="224"/>
      <c r="D302" s="225" t="s">
        <v>123</v>
      </c>
      <c r="E302" s="17">
        <f>E303+E306+E309+E318+E312+E321+E315</f>
        <v>54213.3</v>
      </c>
      <c r="F302" s="17">
        <f t="shared" ref="F302" si="88">F303+F306+F309+F318+F312+F321+F315</f>
        <v>51677.799999999996</v>
      </c>
    </row>
    <row r="303" spans="1:6">
      <c r="A303" s="224" t="s">
        <v>48</v>
      </c>
      <c r="B303" s="224">
        <v>2320220050</v>
      </c>
      <c r="C303" s="224"/>
      <c r="D303" s="225" t="s">
        <v>124</v>
      </c>
      <c r="E303" s="17">
        <f t="shared" ref="E303:F304" si="89">E304</f>
        <v>19729.000000000004</v>
      </c>
      <c r="F303" s="17">
        <f t="shared" si="89"/>
        <v>18741.3</v>
      </c>
    </row>
    <row r="304" spans="1:6" ht="31.5">
      <c r="A304" s="224" t="s">
        <v>48</v>
      </c>
      <c r="B304" s="224">
        <v>2320220050</v>
      </c>
      <c r="C304" s="219" t="s">
        <v>67</v>
      </c>
      <c r="D304" s="225" t="s">
        <v>90</v>
      </c>
      <c r="E304" s="17">
        <f t="shared" si="89"/>
        <v>19729.000000000004</v>
      </c>
      <c r="F304" s="17">
        <f t="shared" si="89"/>
        <v>18741.3</v>
      </c>
    </row>
    <row r="305" spans="1:6" ht="31.5">
      <c r="A305" s="224" t="s">
        <v>48</v>
      </c>
      <c r="B305" s="224">
        <v>2320220050</v>
      </c>
      <c r="C305" s="224">
        <v>240</v>
      </c>
      <c r="D305" s="225" t="s">
        <v>216</v>
      </c>
      <c r="E305" s="17">
        <f>'№ 6 ведом'!F244</f>
        <v>19729.000000000004</v>
      </c>
      <c r="F305" s="17">
        <f>'№ 6 ведом'!G244</f>
        <v>18741.3</v>
      </c>
    </row>
    <row r="306" spans="1:6">
      <c r="A306" s="224" t="s">
        <v>48</v>
      </c>
      <c r="B306" s="224">
        <v>2320220070</v>
      </c>
      <c r="C306" s="224"/>
      <c r="D306" s="225" t="s">
        <v>125</v>
      </c>
      <c r="E306" s="17">
        <f t="shared" ref="E306:F307" si="90">E307</f>
        <v>6478.2000000000007</v>
      </c>
      <c r="F306" s="17">
        <f t="shared" si="90"/>
        <v>6474.8</v>
      </c>
    </row>
    <row r="307" spans="1:6" ht="31.5">
      <c r="A307" s="224" t="s">
        <v>48</v>
      </c>
      <c r="B307" s="224">
        <v>2320220070</v>
      </c>
      <c r="C307" s="219" t="s">
        <v>67</v>
      </c>
      <c r="D307" s="225" t="s">
        <v>90</v>
      </c>
      <c r="E307" s="17">
        <f t="shared" si="90"/>
        <v>6478.2000000000007</v>
      </c>
      <c r="F307" s="17">
        <f t="shared" si="90"/>
        <v>6474.8</v>
      </c>
    </row>
    <row r="308" spans="1:6" ht="31.5">
      <c r="A308" s="224" t="s">
        <v>48</v>
      </c>
      <c r="B308" s="224">
        <v>2320220070</v>
      </c>
      <c r="C308" s="224">
        <v>240</v>
      </c>
      <c r="D308" s="225" t="s">
        <v>216</v>
      </c>
      <c r="E308" s="17">
        <f>'№ 6 ведом'!F247</f>
        <v>6478.2000000000007</v>
      </c>
      <c r="F308" s="17">
        <f>'№ 6 ведом'!G247</f>
        <v>6474.8</v>
      </c>
    </row>
    <row r="309" spans="1:6">
      <c r="A309" s="224" t="s">
        <v>48</v>
      </c>
      <c r="B309" s="224">
        <v>2320220080</v>
      </c>
      <c r="C309" s="224"/>
      <c r="D309" s="225" t="s">
        <v>126</v>
      </c>
      <c r="E309" s="17">
        <f t="shared" ref="E309:F310" si="91">E310</f>
        <v>1507.3</v>
      </c>
      <c r="F309" s="17">
        <f t="shared" si="91"/>
        <v>1410.3</v>
      </c>
    </row>
    <row r="310" spans="1:6" ht="31.5">
      <c r="A310" s="224" t="s">
        <v>48</v>
      </c>
      <c r="B310" s="224">
        <v>2320220080</v>
      </c>
      <c r="C310" s="219" t="s">
        <v>67</v>
      </c>
      <c r="D310" s="225" t="s">
        <v>90</v>
      </c>
      <c r="E310" s="17">
        <f t="shared" si="91"/>
        <v>1507.3</v>
      </c>
      <c r="F310" s="17">
        <f t="shared" si="91"/>
        <v>1410.3</v>
      </c>
    </row>
    <row r="311" spans="1:6" ht="31.5">
      <c r="A311" s="224" t="s">
        <v>48</v>
      </c>
      <c r="B311" s="224">
        <v>2320220080</v>
      </c>
      <c r="C311" s="224">
        <v>240</v>
      </c>
      <c r="D311" s="225" t="s">
        <v>216</v>
      </c>
      <c r="E311" s="17">
        <f>'№ 6 ведом'!F250</f>
        <v>1507.3</v>
      </c>
      <c r="F311" s="17">
        <f>'№ 6 ведом'!G250</f>
        <v>1410.3</v>
      </c>
    </row>
    <row r="312" spans="1:6">
      <c r="A312" s="224" t="s">
        <v>48</v>
      </c>
      <c r="B312" s="224">
        <v>2320220090</v>
      </c>
      <c r="C312" s="224"/>
      <c r="D312" s="8" t="s">
        <v>374</v>
      </c>
      <c r="E312" s="17">
        <f>E313</f>
        <v>740.6</v>
      </c>
      <c r="F312" s="17">
        <f t="shared" ref="F312:F313" si="92">F313</f>
        <v>740.6</v>
      </c>
    </row>
    <row r="313" spans="1:6" ht="31.5">
      <c r="A313" s="224" t="s">
        <v>48</v>
      </c>
      <c r="B313" s="224">
        <v>2320220090</v>
      </c>
      <c r="C313" s="219" t="s">
        <v>67</v>
      </c>
      <c r="D313" s="225" t="s">
        <v>90</v>
      </c>
      <c r="E313" s="17">
        <f>E314</f>
        <v>740.6</v>
      </c>
      <c r="F313" s="17">
        <f t="shared" si="92"/>
        <v>740.6</v>
      </c>
    </row>
    <row r="314" spans="1:6" ht="31.5">
      <c r="A314" s="224" t="s">
        <v>48</v>
      </c>
      <c r="B314" s="224">
        <v>2320220090</v>
      </c>
      <c r="C314" s="224">
        <v>240</v>
      </c>
      <c r="D314" s="225" t="s">
        <v>216</v>
      </c>
      <c r="E314" s="17">
        <f>'№ 6 ведом'!F253</f>
        <v>740.6</v>
      </c>
      <c r="F314" s="17">
        <f>'№ 6 ведом'!G253</f>
        <v>740.6</v>
      </c>
    </row>
    <row r="315" spans="1:6" ht="31.5">
      <c r="A315" s="224" t="s">
        <v>48</v>
      </c>
      <c r="B315" s="224">
        <v>2320220100</v>
      </c>
      <c r="C315" s="224"/>
      <c r="D315" s="8" t="s">
        <v>391</v>
      </c>
      <c r="E315" s="17">
        <f>E316</f>
        <v>39</v>
      </c>
      <c r="F315" s="17">
        <f t="shared" ref="F315:F316" si="93">F316</f>
        <v>27.4</v>
      </c>
    </row>
    <row r="316" spans="1:6" ht="31.5">
      <c r="A316" s="224" t="s">
        <v>48</v>
      </c>
      <c r="B316" s="224">
        <v>2320220100</v>
      </c>
      <c r="C316" s="219" t="s">
        <v>67</v>
      </c>
      <c r="D316" s="225" t="s">
        <v>90</v>
      </c>
      <c r="E316" s="17">
        <f>E317</f>
        <v>39</v>
      </c>
      <c r="F316" s="17">
        <f t="shared" si="93"/>
        <v>27.4</v>
      </c>
    </row>
    <row r="317" spans="1:6" ht="31.5">
      <c r="A317" s="224" t="s">
        <v>48</v>
      </c>
      <c r="B317" s="224">
        <v>2320220100</v>
      </c>
      <c r="C317" s="224">
        <v>240</v>
      </c>
      <c r="D317" s="225" t="s">
        <v>216</v>
      </c>
      <c r="E317" s="17">
        <f>'№ 6 ведом'!F256</f>
        <v>39</v>
      </c>
      <c r="F317" s="17">
        <f>'№ 6 ведом'!G256</f>
        <v>27.4</v>
      </c>
    </row>
    <row r="318" spans="1:6">
      <c r="A318" s="224" t="s">
        <v>48</v>
      </c>
      <c r="B318" s="224">
        <v>2320220110</v>
      </c>
      <c r="C318" s="224"/>
      <c r="D318" s="225" t="s">
        <v>345</v>
      </c>
      <c r="E318" s="17">
        <f>E319</f>
        <v>25672.1</v>
      </c>
      <c r="F318" s="17">
        <f t="shared" ref="F318:F319" si="94">F319</f>
        <v>24236.3</v>
      </c>
    </row>
    <row r="319" spans="1:6" ht="31.5">
      <c r="A319" s="224" t="s">
        <v>48</v>
      </c>
      <c r="B319" s="224">
        <v>2320220110</v>
      </c>
      <c r="C319" s="219" t="s">
        <v>67</v>
      </c>
      <c r="D319" s="225" t="s">
        <v>90</v>
      </c>
      <c r="E319" s="17">
        <f>E320</f>
        <v>25672.1</v>
      </c>
      <c r="F319" s="17">
        <f t="shared" si="94"/>
        <v>24236.3</v>
      </c>
    </row>
    <row r="320" spans="1:6" ht="31.5">
      <c r="A320" s="224" t="s">
        <v>48</v>
      </c>
      <c r="B320" s="224">
        <v>2320220110</v>
      </c>
      <c r="C320" s="224">
        <v>240</v>
      </c>
      <c r="D320" s="225" t="s">
        <v>216</v>
      </c>
      <c r="E320" s="17">
        <f>'№ 6 ведом'!F259</f>
        <v>25672.1</v>
      </c>
      <c r="F320" s="17">
        <f>'№ 6 ведом'!G259</f>
        <v>24236.3</v>
      </c>
    </row>
    <row r="321" spans="1:6">
      <c r="A321" s="224" t="s">
        <v>48</v>
      </c>
      <c r="B321" s="224">
        <v>2320220280</v>
      </c>
      <c r="C321" s="224"/>
      <c r="D321" s="225" t="s">
        <v>385</v>
      </c>
      <c r="E321" s="17">
        <f>E322</f>
        <v>47.1</v>
      </c>
      <c r="F321" s="17">
        <f t="shared" ref="F321:F322" si="95">F322</f>
        <v>47.1</v>
      </c>
    </row>
    <row r="322" spans="1:6" ht="31.5">
      <c r="A322" s="224" t="s">
        <v>48</v>
      </c>
      <c r="B322" s="224">
        <v>2320220280</v>
      </c>
      <c r="C322" s="219" t="s">
        <v>67</v>
      </c>
      <c r="D322" s="225" t="s">
        <v>90</v>
      </c>
      <c r="E322" s="17">
        <f>E323</f>
        <v>47.1</v>
      </c>
      <c r="F322" s="17">
        <f t="shared" si="95"/>
        <v>47.1</v>
      </c>
    </row>
    <row r="323" spans="1:6" ht="31.5">
      <c r="A323" s="224" t="s">
        <v>48</v>
      </c>
      <c r="B323" s="224">
        <v>2320220280</v>
      </c>
      <c r="C323" s="224">
        <v>240</v>
      </c>
      <c r="D323" s="225" t="s">
        <v>216</v>
      </c>
      <c r="E323" s="17">
        <f>'№ 6 ведом'!F262</f>
        <v>47.1</v>
      </c>
      <c r="F323" s="17">
        <f>'№ 6 ведом'!G262</f>
        <v>47.1</v>
      </c>
    </row>
    <row r="324" spans="1:6">
      <c r="A324" s="224" t="s">
        <v>48</v>
      </c>
      <c r="B324" s="219">
        <v>2320300000</v>
      </c>
      <c r="C324" s="224"/>
      <c r="D324" s="270" t="s">
        <v>361</v>
      </c>
      <c r="E324" s="21">
        <f t="shared" ref="E324:F326" si="96">E325</f>
        <v>1543.7</v>
      </c>
      <c r="F324" s="21">
        <f t="shared" si="96"/>
        <v>1040.7</v>
      </c>
    </row>
    <row r="325" spans="1:6">
      <c r="A325" s="224" t="s">
        <v>48</v>
      </c>
      <c r="B325" s="224">
        <v>2320320060</v>
      </c>
      <c r="C325" s="224"/>
      <c r="D325" s="225" t="s">
        <v>362</v>
      </c>
      <c r="E325" s="21">
        <f t="shared" si="96"/>
        <v>1543.7</v>
      </c>
      <c r="F325" s="21">
        <f t="shared" si="96"/>
        <v>1040.7</v>
      </c>
    </row>
    <row r="326" spans="1:6" ht="31.5">
      <c r="A326" s="224" t="s">
        <v>48</v>
      </c>
      <c r="B326" s="224">
        <v>2320320060</v>
      </c>
      <c r="C326" s="219" t="s">
        <v>70</v>
      </c>
      <c r="D326" s="56" t="s">
        <v>91</v>
      </c>
      <c r="E326" s="21">
        <f t="shared" si="96"/>
        <v>1543.7</v>
      </c>
      <c r="F326" s="21">
        <f t="shared" si="96"/>
        <v>1040.7</v>
      </c>
    </row>
    <row r="327" spans="1:6">
      <c r="A327" s="224" t="s">
        <v>48</v>
      </c>
      <c r="B327" s="224">
        <v>2320320060</v>
      </c>
      <c r="C327" s="219" t="s">
        <v>114</v>
      </c>
      <c r="D327" s="56" t="s">
        <v>115</v>
      </c>
      <c r="E327" s="21">
        <f>'№ 6 ведом'!F266</f>
        <v>1543.7</v>
      </c>
      <c r="F327" s="21">
        <f>'№ 6 ведом'!G266</f>
        <v>1040.7</v>
      </c>
    </row>
    <row r="328" spans="1:6" ht="31.5">
      <c r="A328" s="224" t="s">
        <v>48</v>
      </c>
      <c r="B328" s="219">
        <v>2320500000</v>
      </c>
      <c r="C328" s="219"/>
      <c r="D328" s="225" t="s">
        <v>360</v>
      </c>
      <c r="E328" s="21">
        <f t="shared" ref="E328:F330" si="97">E329</f>
        <v>198.3</v>
      </c>
      <c r="F328" s="21">
        <f t="shared" si="97"/>
        <v>0</v>
      </c>
    </row>
    <row r="329" spans="1:6">
      <c r="A329" s="224" t="s">
        <v>48</v>
      </c>
      <c r="B329" s="219">
        <v>2320520100</v>
      </c>
      <c r="C329" s="219"/>
      <c r="D329" s="56" t="s">
        <v>223</v>
      </c>
      <c r="E329" s="21">
        <f t="shared" si="97"/>
        <v>198.3</v>
      </c>
      <c r="F329" s="21">
        <f t="shared" si="97"/>
        <v>0</v>
      </c>
    </row>
    <row r="330" spans="1:6" ht="31.5">
      <c r="A330" s="224" t="s">
        <v>48</v>
      </c>
      <c r="B330" s="219">
        <v>2320520100</v>
      </c>
      <c r="C330" s="219" t="s">
        <v>67</v>
      </c>
      <c r="D330" s="225" t="s">
        <v>90</v>
      </c>
      <c r="E330" s="21">
        <f t="shared" si="97"/>
        <v>198.3</v>
      </c>
      <c r="F330" s="21">
        <f t="shared" si="97"/>
        <v>0</v>
      </c>
    </row>
    <row r="331" spans="1:6" ht="31.5">
      <c r="A331" s="224" t="s">
        <v>48</v>
      </c>
      <c r="B331" s="219">
        <v>2320520100</v>
      </c>
      <c r="C331" s="224">
        <v>240</v>
      </c>
      <c r="D331" s="225" t="s">
        <v>216</v>
      </c>
      <c r="E331" s="21">
        <f>'№ 6 ведом'!F270</f>
        <v>198.3</v>
      </c>
      <c r="F331" s="21">
        <f>'№ 6 ведом'!G270</f>
        <v>0</v>
      </c>
    </row>
    <row r="332" spans="1:6" ht="31.5">
      <c r="A332" s="224" t="s">
        <v>48</v>
      </c>
      <c r="B332" s="219">
        <v>2330000000</v>
      </c>
      <c r="C332" s="224"/>
      <c r="D332" s="225" t="s">
        <v>329</v>
      </c>
      <c r="E332" s="17">
        <f>E333</f>
        <v>3014.5</v>
      </c>
      <c r="F332" s="17">
        <f>F333</f>
        <v>2410</v>
      </c>
    </row>
    <row r="333" spans="1:6" ht="47.25">
      <c r="A333" s="224" t="s">
        <v>48</v>
      </c>
      <c r="B333" s="219">
        <v>2330100000</v>
      </c>
      <c r="C333" s="224"/>
      <c r="D333" s="225" t="s">
        <v>206</v>
      </c>
      <c r="E333" s="17">
        <f>E334+E337</f>
        <v>3014.5</v>
      </c>
      <c r="F333" s="17">
        <f>F334+F337</f>
        <v>2410</v>
      </c>
    </row>
    <row r="334" spans="1:6" ht="31.5">
      <c r="A334" s="224" t="s">
        <v>48</v>
      </c>
      <c r="B334" s="219">
        <v>2330120090</v>
      </c>
      <c r="C334" s="224"/>
      <c r="D334" s="225" t="s">
        <v>317</v>
      </c>
      <c r="E334" s="17">
        <f>E335</f>
        <v>1238.4000000000001</v>
      </c>
      <c r="F334" s="17">
        <f>F335</f>
        <v>797.2</v>
      </c>
    </row>
    <row r="335" spans="1:6" ht="31.5">
      <c r="A335" s="224" t="s">
        <v>48</v>
      </c>
      <c r="B335" s="219">
        <v>2330120090</v>
      </c>
      <c r="C335" s="219" t="s">
        <v>67</v>
      </c>
      <c r="D335" s="225" t="s">
        <v>90</v>
      </c>
      <c r="E335" s="17">
        <f>E336</f>
        <v>1238.4000000000001</v>
      </c>
      <c r="F335" s="17">
        <f>F336</f>
        <v>797.2</v>
      </c>
    </row>
    <row r="336" spans="1:6" ht="31.5">
      <c r="A336" s="224" t="s">
        <v>48</v>
      </c>
      <c r="B336" s="219">
        <v>2330120090</v>
      </c>
      <c r="C336" s="224">
        <v>240</v>
      </c>
      <c r="D336" s="225" t="s">
        <v>216</v>
      </c>
      <c r="E336" s="17">
        <f>'№ 6 ведом'!F275</f>
        <v>1238.4000000000001</v>
      </c>
      <c r="F336" s="17">
        <f>'№ 6 ведом'!G275</f>
        <v>797.2</v>
      </c>
    </row>
    <row r="337" spans="1:6">
      <c r="A337" s="224" t="s">
        <v>48</v>
      </c>
      <c r="B337" s="219">
        <v>2330120100</v>
      </c>
      <c r="C337" s="78"/>
      <c r="D337" s="42" t="s">
        <v>318</v>
      </c>
      <c r="E337" s="17">
        <f t="shared" ref="E337:F338" si="98">E338</f>
        <v>1776.1</v>
      </c>
      <c r="F337" s="17">
        <f t="shared" si="98"/>
        <v>1612.8</v>
      </c>
    </row>
    <row r="338" spans="1:6" ht="31.5">
      <c r="A338" s="224" t="s">
        <v>48</v>
      </c>
      <c r="B338" s="219">
        <v>2330120100</v>
      </c>
      <c r="C338" s="109" t="s">
        <v>67</v>
      </c>
      <c r="D338" s="225" t="s">
        <v>90</v>
      </c>
      <c r="E338" s="17">
        <f t="shared" si="98"/>
        <v>1776.1</v>
      </c>
      <c r="F338" s="17">
        <f t="shared" si="98"/>
        <v>1612.8</v>
      </c>
    </row>
    <row r="339" spans="1:6" ht="31.5">
      <c r="A339" s="224" t="s">
        <v>48</v>
      </c>
      <c r="B339" s="219">
        <v>2330120100</v>
      </c>
      <c r="C339" s="78">
        <v>240</v>
      </c>
      <c r="D339" s="225" t="s">
        <v>216</v>
      </c>
      <c r="E339" s="17">
        <f>'№ 6 ведом'!F278</f>
        <v>1776.1</v>
      </c>
      <c r="F339" s="17">
        <f>'№ 6 ведом'!G278</f>
        <v>1612.8</v>
      </c>
    </row>
    <row r="340" spans="1:6">
      <c r="A340" s="224" t="s">
        <v>48</v>
      </c>
      <c r="B340" s="224">
        <v>9900000000</v>
      </c>
      <c r="C340" s="224"/>
      <c r="D340" s="225" t="s">
        <v>100</v>
      </c>
      <c r="E340" s="17">
        <f xml:space="preserve"> E341</f>
        <v>749.1</v>
      </c>
      <c r="F340" s="17">
        <f t="shared" ref="F340" si="99" xml:space="preserve"> F341</f>
        <v>749.1</v>
      </c>
    </row>
    <row r="341" spans="1:6" ht="31.5">
      <c r="A341" s="224" t="s">
        <v>48</v>
      </c>
      <c r="B341" s="224">
        <v>9930000000</v>
      </c>
      <c r="C341" s="224"/>
      <c r="D341" s="56" t="s">
        <v>150</v>
      </c>
      <c r="E341" s="17">
        <f>E342</f>
        <v>749.1</v>
      </c>
      <c r="F341" s="17">
        <f t="shared" ref="F341:F343" si="100">F342</f>
        <v>749.1</v>
      </c>
    </row>
    <row r="342" spans="1:6" ht="31.5">
      <c r="A342" s="224" t="s">
        <v>48</v>
      </c>
      <c r="B342" s="224">
        <v>9930020490</v>
      </c>
      <c r="C342" s="224"/>
      <c r="D342" s="56" t="s">
        <v>363</v>
      </c>
      <c r="E342" s="17">
        <f>E343</f>
        <v>749.1</v>
      </c>
      <c r="F342" s="17">
        <f t="shared" si="100"/>
        <v>749.1</v>
      </c>
    </row>
    <row r="343" spans="1:6">
      <c r="A343" s="224" t="s">
        <v>48</v>
      </c>
      <c r="B343" s="224">
        <v>9930020490</v>
      </c>
      <c r="C343" s="11" t="s">
        <v>68</v>
      </c>
      <c r="D343" s="42" t="s">
        <v>69</v>
      </c>
      <c r="E343" s="17">
        <f>E344</f>
        <v>749.1</v>
      </c>
      <c r="F343" s="17">
        <f t="shared" si="100"/>
        <v>749.1</v>
      </c>
    </row>
    <row r="344" spans="1:6">
      <c r="A344" s="224" t="s">
        <v>48</v>
      </c>
      <c r="B344" s="224">
        <v>9930020490</v>
      </c>
      <c r="C344" s="1" t="s">
        <v>364</v>
      </c>
      <c r="D344" s="140" t="s">
        <v>365</v>
      </c>
      <c r="E344" s="17">
        <f>'№ 6 ведом'!F283</f>
        <v>749.1</v>
      </c>
      <c r="F344" s="17">
        <f>'№ 6 ведом'!G283</f>
        <v>749.1</v>
      </c>
    </row>
    <row r="345" spans="1:6">
      <c r="A345" s="4" t="s">
        <v>37</v>
      </c>
      <c r="B345" s="4" t="s">
        <v>64</v>
      </c>
      <c r="C345" s="79" t="s">
        <v>64</v>
      </c>
      <c r="D345" s="53" t="s">
        <v>29</v>
      </c>
      <c r="E345" s="60">
        <f>E346+E398+E545+E564+E498+E538</f>
        <v>733693.39999999991</v>
      </c>
      <c r="F345" s="60">
        <f>F346+F398+F545+F564+F498+F538</f>
        <v>731900.8</v>
      </c>
    </row>
    <row r="346" spans="1:6">
      <c r="A346" s="226" t="s">
        <v>49</v>
      </c>
      <c r="B346" s="226" t="s">
        <v>64</v>
      </c>
      <c r="C346" s="222" t="s">
        <v>64</v>
      </c>
      <c r="D346" s="49" t="s">
        <v>10</v>
      </c>
      <c r="E346" s="17">
        <f>E347+E370</f>
        <v>282492.59999999998</v>
      </c>
      <c r="F346" s="17">
        <f>F347+F370</f>
        <v>281845.60000000003</v>
      </c>
    </row>
    <row r="347" spans="1:6" ht="47.25">
      <c r="A347" s="224" t="s">
        <v>49</v>
      </c>
      <c r="B347" s="219">
        <v>2100000000</v>
      </c>
      <c r="C347" s="224"/>
      <c r="D347" s="225" t="s">
        <v>313</v>
      </c>
      <c r="E347" s="17">
        <f t="shared" ref="E347:F347" si="101">E348</f>
        <v>274184.8</v>
      </c>
      <c r="F347" s="17">
        <f t="shared" si="101"/>
        <v>274183.90000000002</v>
      </c>
    </row>
    <row r="348" spans="1:6">
      <c r="A348" s="224" t="s">
        <v>49</v>
      </c>
      <c r="B348" s="224">
        <v>2110000000</v>
      </c>
      <c r="C348" s="224"/>
      <c r="D348" s="49" t="s">
        <v>159</v>
      </c>
      <c r="E348" s="17">
        <f>E349+E362+E366</f>
        <v>274184.8</v>
      </c>
      <c r="F348" s="17">
        <f>F349+F362+F366</f>
        <v>274183.90000000002</v>
      </c>
    </row>
    <row r="349" spans="1:6" ht="47.25">
      <c r="A349" s="224" t="s">
        <v>49</v>
      </c>
      <c r="B349" s="224">
        <v>2110100000</v>
      </c>
      <c r="C349" s="24"/>
      <c r="D349" s="49" t="s">
        <v>160</v>
      </c>
      <c r="E349" s="17">
        <f>E353+E350+E356+E359</f>
        <v>270314.59999999998</v>
      </c>
      <c r="F349" s="17">
        <f>F353+F350+F356+F359</f>
        <v>270314.59999999998</v>
      </c>
    </row>
    <row r="350" spans="1:6" ht="63">
      <c r="A350" s="2" t="s">
        <v>49</v>
      </c>
      <c r="B350" s="10" t="s">
        <v>306</v>
      </c>
      <c r="C350" s="11"/>
      <c r="D350" s="42" t="s">
        <v>98</v>
      </c>
      <c r="E350" s="17">
        <f t="shared" ref="E350:F351" si="102">E351</f>
        <v>148201</v>
      </c>
      <c r="F350" s="17">
        <f t="shared" si="102"/>
        <v>148201</v>
      </c>
    </row>
    <row r="351" spans="1:6" ht="31.5">
      <c r="A351" s="2" t="s">
        <v>49</v>
      </c>
      <c r="B351" s="10" t="s">
        <v>306</v>
      </c>
      <c r="C351" s="219" t="s">
        <v>92</v>
      </c>
      <c r="D351" s="225" t="s">
        <v>93</v>
      </c>
      <c r="E351" s="17">
        <f t="shared" si="102"/>
        <v>148201</v>
      </c>
      <c r="F351" s="17">
        <f t="shared" si="102"/>
        <v>148201</v>
      </c>
    </row>
    <row r="352" spans="1:6">
      <c r="A352" s="2" t="s">
        <v>49</v>
      </c>
      <c r="B352" s="10" t="s">
        <v>306</v>
      </c>
      <c r="C352" s="224">
        <v>610</v>
      </c>
      <c r="D352" s="225" t="s">
        <v>99</v>
      </c>
      <c r="E352" s="17">
        <f>'№ 6 ведом'!F644</f>
        <v>148201</v>
      </c>
      <c r="F352" s="17">
        <f>'№ 6 ведом'!G644</f>
        <v>148201</v>
      </c>
    </row>
    <row r="353" spans="1:6" ht="31.5">
      <c r="A353" s="2" t="s">
        <v>49</v>
      </c>
      <c r="B353" s="10" t="s">
        <v>307</v>
      </c>
      <c r="C353" s="10"/>
      <c r="D353" s="42" t="s">
        <v>118</v>
      </c>
      <c r="E353" s="17">
        <f t="shared" ref="E353:F354" si="103">E354</f>
        <v>120137.09999999999</v>
      </c>
      <c r="F353" s="17">
        <f t="shared" si="103"/>
        <v>120137.1</v>
      </c>
    </row>
    <row r="354" spans="1:6" ht="31.5">
      <c r="A354" s="2" t="s">
        <v>49</v>
      </c>
      <c r="B354" s="10" t="s">
        <v>307</v>
      </c>
      <c r="C354" s="219" t="s">
        <v>92</v>
      </c>
      <c r="D354" s="225" t="s">
        <v>93</v>
      </c>
      <c r="E354" s="17">
        <f t="shared" si="103"/>
        <v>120137.09999999999</v>
      </c>
      <c r="F354" s="17">
        <f t="shared" si="103"/>
        <v>120137.1</v>
      </c>
    </row>
    <row r="355" spans="1:6">
      <c r="A355" s="2" t="s">
        <v>49</v>
      </c>
      <c r="B355" s="10" t="s">
        <v>307</v>
      </c>
      <c r="C355" s="224">
        <v>610</v>
      </c>
      <c r="D355" s="225" t="s">
        <v>99</v>
      </c>
      <c r="E355" s="17">
        <f>'№ 6 ведом'!F647</f>
        <v>120137.09999999999</v>
      </c>
      <c r="F355" s="17">
        <f>'№ 6 ведом'!G647</f>
        <v>120137.1</v>
      </c>
    </row>
    <row r="356" spans="1:6" ht="47.25">
      <c r="A356" s="2" t="s">
        <v>49</v>
      </c>
      <c r="B356" s="10" t="s">
        <v>400</v>
      </c>
      <c r="C356" s="10"/>
      <c r="D356" s="42" t="s">
        <v>401</v>
      </c>
      <c r="E356" s="70">
        <f>E357</f>
        <v>1956.7</v>
      </c>
      <c r="F356" s="70">
        <f>F357</f>
        <v>1956.7</v>
      </c>
    </row>
    <row r="357" spans="1:6" ht="31.5">
      <c r="A357" s="2" t="s">
        <v>49</v>
      </c>
      <c r="B357" s="10" t="s">
        <v>400</v>
      </c>
      <c r="C357" s="219" t="s">
        <v>92</v>
      </c>
      <c r="D357" s="225" t="s">
        <v>93</v>
      </c>
      <c r="E357" s="70">
        <f>E358</f>
        <v>1956.7</v>
      </c>
      <c r="F357" s="70">
        <f>F358</f>
        <v>1956.7</v>
      </c>
    </row>
    <row r="358" spans="1:6">
      <c r="A358" s="2" t="s">
        <v>49</v>
      </c>
      <c r="B358" s="10" t="s">
        <v>400</v>
      </c>
      <c r="C358" s="224">
        <v>610</v>
      </c>
      <c r="D358" s="225" t="s">
        <v>99</v>
      </c>
      <c r="E358" s="70">
        <f>'№ 6 ведом'!F650</f>
        <v>1956.7</v>
      </c>
      <c r="F358" s="70">
        <f>'№ 6 ведом'!G650</f>
        <v>1956.7</v>
      </c>
    </row>
    <row r="359" spans="1:6" ht="47.25">
      <c r="A359" s="2" t="s">
        <v>49</v>
      </c>
      <c r="B359" s="10" t="s">
        <v>402</v>
      </c>
      <c r="C359" s="11"/>
      <c r="D359" s="225" t="s">
        <v>403</v>
      </c>
      <c r="E359" s="70">
        <f>E360</f>
        <v>19.8</v>
      </c>
      <c r="F359" s="70">
        <f>F360</f>
        <v>19.8</v>
      </c>
    </row>
    <row r="360" spans="1:6" ht="31.5">
      <c r="A360" s="2" t="s">
        <v>49</v>
      </c>
      <c r="B360" s="10" t="s">
        <v>402</v>
      </c>
      <c r="C360" s="219" t="s">
        <v>92</v>
      </c>
      <c r="D360" s="225" t="s">
        <v>93</v>
      </c>
      <c r="E360" s="70">
        <f>E361</f>
        <v>19.8</v>
      </c>
      <c r="F360" s="70">
        <f>F361</f>
        <v>19.8</v>
      </c>
    </row>
    <row r="361" spans="1:6">
      <c r="A361" s="2" t="s">
        <v>49</v>
      </c>
      <c r="B361" s="10" t="s">
        <v>402</v>
      </c>
      <c r="C361" s="224">
        <v>610</v>
      </c>
      <c r="D361" s="225" t="s">
        <v>99</v>
      </c>
      <c r="E361" s="70">
        <f>'№ 6 ведом'!F653</f>
        <v>19.8</v>
      </c>
      <c r="F361" s="70">
        <f>'№ 6 ведом'!G653</f>
        <v>19.8</v>
      </c>
    </row>
    <row r="362" spans="1:6" ht="78.75">
      <c r="A362" s="22" t="s">
        <v>49</v>
      </c>
      <c r="B362" s="224">
        <v>2110500000</v>
      </c>
      <c r="C362" s="224"/>
      <c r="D362" s="225" t="s">
        <v>242</v>
      </c>
      <c r="E362" s="70">
        <f t="shared" ref="E362:F364" si="104">E363</f>
        <v>3790.2000000000003</v>
      </c>
      <c r="F362" s="70">
        <f t="shared" si="104"/>
        <v>3789.4</v>
      </c>
    </row>
    <row r="363" spans="1:6" ht="31.5">
      <c r="A363" s="2" t="s">
        <v>49</v>
      </c>
      <c r="B363" s="10" t="s">
        <v>357</v>
      </c>
      <c r="C363" s="224"/>
      <c r="D363" s="56" t="s">
        <v>358</v>
      </c>
      <c r="E363" s="70">
        <f t="shared" si="104"/>
        <v>3790.2000000000003</v>
      </c>
      <c r="F363" s="70">
        <f t="shared" si="104"/>
        <v>3789.4</v>
      </c>
    </row>
    <row r="364" spans="1:6" ht="31.5">
      <c r="A364" s="2" t="s">
        <v>49</v>
      </c>
      <c r="B364" s="10" t="s">
        <v>357</v>
      </c>
      <c r="C364" s="219" t="s">
        <v>92</v>
      </c>
      <c r="D364" s="225" t="s">
        <v>93</v>
      </c>
      <c r="E364" s="70">
        <f t="shared" si="104"/>
        <v>3790.2000000000003</v>
      </c>
      <c r="F364" s="70">
        <f t="shared" si="104"/>
        <v>3789.4</v>
      </c>
    </row>
    <row r="365" spans="1:6">
      <c r="A365" s="22" t="s">
        <v>49</v>
      </c>
      <c r="B365" s="10" t="s">
        <v>357</v>
      </c>
      <c r="C365" s="224">
        <v>610</v>
      </c>
      <c r="D365" s="225" t="s">
        <v>99</v>
      </c>
      <c r="E365" s="70">
        <f>'№ 6 ведом'!F657</f>
        <v>3790.2000000000003</v>
      </c>
      <c r="F365" s="70">
        <f>'№ 6 ведом'!G657</f>
        <v>3789.4</v>
      </c>
    </row>
    <row r="366" spans="1:6" ht="63">
      <c r="A366" s="2" t="s">
        <v>49</v>
      </c>
      <c r="B366" s="224">
        <v>2110800000</v>
      </c>
      <c r="C366" s="224"/>
      <c r="D366" s="131" t="s">
        <v>390</v>
      </c>
      <c r="E366" s="70">
        <f t="shared" ref="E366:F368" si="105">E367</f>
        <v>80</v>
      </c>
      <c r="F366" s="70">
        <f t="shared" si="105"/>
        <v>79.900000000000006</v>
      </c>
    </row>
    <row r="367" spans="1:6" ht="31.5">
      <c r="A367" s="22" t="s">
        <v>49</v>
      </c>
      <c r="B367" s="224">
        <v>2110820030</v>
      </c>
      <c r="C367" s="224"/>
      <c r="D367" s="225" t="s">
        <v>389</v>
      </c>
      <c r="E367" s="70">
        <f t="shared" si="105"/>
        <v>80</v>
      </c>
      <c r="F367" s="70">
        <f t="shared" si="105"/>
        <v>79.900000000000006</v>
      </c>
    </row>
    <row r="368" spans="1:6" ht="31.5">
      <c r="A368" s="103" t="s">
        <v>49</v>
      </c>
      <c r="B368" s="224">
        <v>2110820030</v>
      </c>
      <c r="C368" s="219" t="s">
        <v>92</v>
      </c>
      <c r="D368" s="225" t="s">
        <v>93</v>
      </c>
      <c r="E368" s="70">
        <f t="shared" si="105"/>
        <v>80</v>
      </c>
      <c r="F368" s="70">
        <f t="shared" si="105"/>
        <v>79.900000000000006</v>
      </c>
    </row>
    <row r="369" spans="1:6">
      <c r="A369" s="103" t="s">
        <v>49</v>
      </c>
      <c r="B369" s="224">
        <v>2110820030</v>
      </c>
      <c r="C369" s="224">
        <v>610</v>
      </c>
      <c r="D369" s="225" t="s">
        <v>99</v>
      </c>
      <c r="E369" s="70">
        <f>'№ 6 ведом'!F661</f>
        <v>80</v>
      </c>
      <c r="F369" s="70">
        <f>'№ 6 ведом'!G661</f>
        <v>79.900000000000006</v>
      </c>
    </row>
    <row r="370" spans="1:6" ht="31.5">
      <c r="A370" s="103" t="s">
        <v>49</v>
      </c>
      <c r="B370" s="219">
        <v>2500000000</v>
      </c>
      <c r="C370" s="224"/>
      <c r="D370" s="225" t="s">
        <v>312</v>
      </c>
      <c r="E370" s="104">
        <f>E371</f>
        <v>8307.8000000000011</v>
      </c>
      <c r="F370" s="104">
        <f>F371</f>
        <v>7661.7000000000007</v>
      </c>
    </row>
    <row r="371" spans="1:6" ht="31.5">
      <c r="A371" s="103" t="s">
        <v>49</v>
      </c>
      <c r="B371" s="219">
        <v>2520000000</v>
      </c>
      <c r="C371" s="224"/>
      <c r="D371" s="225" t="s">
        <v>241</v>
      </c>
      <c r="E371" s="104">
        <f>E376+E386+E390+E394+E372</f>
        <v>8307.8000000000011</v>
      </c>
      <c r="F371" s="104">
        <f>F376+F386+F390+F394+F372</f>
        <v>7661.7000000000007</v>
      </c>
    </row>
    <row r="372" spans="1:6" ht="63">
      <c r="A372" s="103" t="s">
        <v>49</v>
      </c>
      <c r="B372" s="224">
        <v>2520100000</v>
      </c>
      <c r="C372" s="224"/>
      <c r="D372" s="56" t="s">
        <v>366</v>
      </c>
      <c r="E372" s="104">
        <f t="shared" ref="E372:F374" si="106">E373</f>
        <v>1977.4000000000003</v>
      </c>
      <c r="F372" s="104">
        <f t="shared" si="106"/>
        <v>1933.8</v>
      </c>
    </row>
    <row r="373" spans="1:6" ht="31.5">
      <c r="A373" s="103" t="s">
        <v>49</v>
      </c>
      <c r="B373" s="10" t="s">
        <v>367</v>
      </c>
      <c r="C373" s="224"/>
      <c r="D373" s="56" t="s">
        <v>368</v>
      </c>
      <c r="E373" s="104">
        <f t="shared" si="106"/>
        <v>1977.4000000000003</v>
      </c>
      <c r="F373" s="104">
        <f t="shared" si="106"/>
        <v>1933.8</v>
      </c>
    </row>
    <row r="374" spans="1:6" ht="31.5">
      <c r="A374" s="103" t="s">
        <v>49</v>
      </c>
      <c r="B374" s="10" t="s">
        <v>367</v>
      </c>
      <c r="C374" s="219" t="s">
        <v>92</v>
      </c>
      <c r="D374" s="56" t="s">
        <v>93</v>
      </c>
      <c r="E374" s="104">
        <f t="shared" si="106"/>
        <v>1977.4000000000003</v>
      </c>
      <c r="F374" s="104">
        <f t="shared" si="106"/>
        <v>1933.8</v>
      </c>
    </row>
    <row r="375" spans="1:6">
      <c r="A375" s="103" t="s">
        <v>49</v>
      </c>
      <c r="B375" s="10" t="s">
        <v>367</v>
      </c>
      <c r="C375" s="224">
        <v>610</v>
      </c>
      <c r="D375" s="56" t="s">
        <v>99</v>
      </c>
      <c r="E375" s="104">
        <f>'№ 6 ведом'!F667</f>
        <v>1977.4000000000003</v>
      </c>
      <c r="F375" s="104">
        <f>'№ 6 ведом'!G667</f>
        <v>1933.8</v>
      </c>
    </row>
    <row r="376" spans="1:6" ht="47.25">
      <c r="A376" s="103" t="s">
        <v>49</v>
      </c>
      <c r="B376" s="219">
        <v>2520200000</v>
      </c>
      <c r="C376" s="224"/>
      <c r="D376" s="225" t="s">
        <v>287</v>
      </c>
      <c r="E376" s="104">
        <f>E383+E380+E377</f>
        <v>3253.4</v>
      </c>
      <c r="F376" s="104">
        <f>F383+F380+F377</f>
        <v>3227.2</v>
      </c>
    </row>
    <row r="377" spans="1:6" ht="47.25">
      <c r="A377" s="103" t="s">
        <v>49</v>
      </c>
      <c r="B377" s="219">
        <v>2520211040</v>
      </c>
      <c r="C377" s="224"/>
      <c r="D377" s="94" t="s">
        <v>352</v>
      </c>
      <c r="E377" s="104">
        <f>E378</f>
        <v>1226.5</v>
      </c>
      <c r="F377" s="104">
        <f>F378</f>
        <v>1226.5</v>
      </c>
    </row>
    <row r="378" spans="1:6" ht="31.5">
      <c r="A378" s="103" t="s">
        <v>49</v>
      </c>
      <c r="B378" s="219">
        <v>2520211040</v>
      </c>
      <c r="C378" s="95">
        <v>600</v>
      </c>
      <c r="D378" s="94" t="s">
        <v>93</v>
      </c>
      <c r="E378" s="104">
        <f>E379</f>
        <v>1226.5</v>
      </c>
      <c r="F378" s="104">
        <f>F379</f>
        <v>1226.5</v>
      </c>
    </row>
    <row r="379" spans="1:6">
      <c r="A379" s="103" t="s">
        <v>49</v>
      </c>
      <c r="B379" s="219">
        <v>2520211040</v>
      </c>
      <c r="C379" s="93">
        <v>610</v>
      </c>
      <c r="D379" s="94" t="s">
        <v>99</v>
      </c>
      <c r="E379" s="104">
        <f>'№ 6 ведом'!F671</f>
        <v>1226.5</v>
      </c>
      <c r="F379" s="104">
        <f>'№ 6 ведом'!G671</f>
        <v>1226.5</v>
      </c>
    </row>
    <row r="380" spans="1:6">
      <c r="A380" s="2" t="s">
        <v>49</v>
      </c>
      <c r="B380" s="219">
        <v>2520220190</v>
      </c>
      <c r="C380" s="219"/>
      <c r="D380" s="225" t="s">
        <v>324</v>
      </c>
      <c r="E380" s="104">
        <f t="shared" ref="E380:F381" si="107">E381</f>
        <v>774.2</v>
      </c>
      <c r="F380" s="104">
        <f t="shared" si="107"/>
        <v>774.2</v>
      </c>
    </row>
    <row r="381" spans="1:6" ht="31.5">
      <c r="A381" s="2" t="s">
        <v>49</v>
      </c>
      <c r="B381" s="219">
        <v>2520220190</v>
      </c>
      <c r="C381" s="219" t="s">
        <v>92</v>
      </c>
      <c r="D381" s="225" t="s">
        <v>93</v>
      </c>
      <c r="E381" s="104">
        <f t="shared" si="107"/>
        <v>774.2</v>
      </c>
      <c r="F381" s="104">
        <f t="shared" si="107"/>
        <v>774.2</v>
      </c>
    </row>
    <row r="382" spans="1:6">
      <c r="A382" s="2" t="s">
        <v>49</v>
      </c>
      <c r="B382" s="219">
        <v>2520220190</v>
      </c>
      <c r="C382" s="219">
        <v>610</v>
      </c>
      <c r="D382" s="225" t="s">
        <v>99</v>
      </c>
      <c r="E382" s="104">
        <f>'№ 6 ведом'!F674</f>
        <v>774.2</v>
      </c>
      <c r="F382" s="104">
        <f>'№ 6 ведом'!G674</f>
        <v>774.2</v>
      </c>
    </row>
    <row r="383" spans="1:6" ht="47.25">
      <c r="A383" s="103" t="s">
        <v>49</v>
      </c>
      <c r="B383" s="219" t="s">
        <v>308</v>
      </c>
      <c r="C383" s="224"/>
      <c r="D383" s="94" t="s">
        <v>248</v>
      </c>
      <c r="E383" s="104">
        <f t="shared" ref="E383:F384" si="108">E384</f>
        <v>1252.7</v>
      </c>
      <c r="F383" s="104">
        <f t="shared" si="108"/>
        <v>1226.5</v>
      </c>
    </row>
    <row r="384" spans="1:6" ht="31.5">
      <c r="A384" s="103" t="s">
        <v>49</v>
      </c>
      <c r="B384" s="219" t="s">
        <v>308</v>
      </c>
      <c r="C384" s="95">
        <v>600</v>
      </c>
      <c r="D384" s="94" t="s">
        <v>93</v>
      </c>
      <c r="E384" s="104">
        <f t="shared" si="108"/>
        <v>1252.7</v>
      </c>
      <c r="F384" s="104">
        <f t="shared" si="108"/>
        <v>1226.5</v>
      </c>
    </row>
    <row r="385" spans="1:6">
      <c r="A385" s="103" t="s">
        <v>49</v>
      </c>
      <c r="B385" s="219" t="s">
        <v>308</v>
      </c>
      <c r="C385" s="93">
        <v>610</v>
      </c>
      <c r="D385" s="94" t="s">
        <v>99</v>
      </c>
      <c r="E385" s="104">
        <f>'№ 6 ведом'!F677</f>
        <v>1252.7</v>
      </c>
      <c r="F385" s="104">
        <f>'№ 6 ведом'!G677</f>
        <v>1226.5</v>
      </c>
    </row>
    <row r="386" spans="1:6" ht="31.5">
      <c r="A386" s="103" t="s">
        <v>49</v>
      </c>
      <c r="B386" s="219">
        <v>2520400000</v>
      </c>
      <c r="C386" s="224"/>
      <c r="D386" s="56" t="s">
        <v>330</v>
      </c>
      <c r="E386" s="104">
        <f t="shared" ref="E386:F388" si="109">E387</f>
        <v>1266.2</v>
      </c>
      <c r="F386" s="104">
        <f t="shared" si="109"/>
        <v>1145.4000000000001</v>
      </c>
    </row>
    <row r="387" spans="1:6">
      <c r="A387" s="103" t="s">
        <v>49</v>
      </c>
      <c r="B387" s="219">
        <v>2520420300</v>
      </c>
      <c r="C387" s="224"/>
      <c r="D387" s="56" t="s">
        <v>331</v>
      </c>
      <c r="E387" s="104">
        <f t="shared" si="109"/>
        <v>1266.2</v>
      </c>
      <c r="F387" s="104">
        <f t="shared" si="109"/>
        <v>1145.4000000000001</v>
      </c>
    </row>
    <row r="388" spans="1:6" ht="31.5">
      <c r="A388" s="103" t="s">
        <v>49</v>
      </c>
      <c r="B388" s="219">
        <v>2520420300</v>
      </c>
      <c r="C388" s="219" t="s">
        <v>92</v>
      </c>
      <c r="D388" s="56" t="s">
        <v>93</v>
      </c>
      <c r="E388" s="104">
        <f t="shared" si="109"/>
        <v>1266.2</v>
      </c>
      <c r="F388" s="104">
        <f t="shared" si="109"/>
        <v>1145.4000000000001</v>
      </c>
    </row>
    <row r="389" spans="1:6">
      <c r="A389" s="103" t="s">
        <v>49</v>
      </c>
      <c r="B389" s="219">
        <v>2520420300</v>
      </c>
      <c r="C389" s="224">
        <v>610</v>
      </c>
      <c r="D389" s="56" t="s">
        <v>99</v>
      </c>
      <c r="E389" s="104">
        <f>'№ 6 ведом'!F681</f>
        <v>1266.2</v>
      </c>
      <c r="F389" s="104">
        <f>'№ 6 ведом'!G681</f>
        <v>1145.4000000000001</v>
      </c>
    </row>
    <row r="390" spans="1:6" ht="31.5">
      <c r="A390" s="103" t="s">
        <v>49</v>
      </c>
      <c r="B390" s="219">
        <v>2520500000</v>
      </c>
      <c r="C390" s="224"/>
      <c r="D390" s="225" t="s">
        <v>341</v>
      </c>
      <c r="E390" s="105">
        <f t="shared" ref="E390:F392" si="110">E391</f>
        <v>1232.6000000000001</v>
      </c>
      <c r="F390" s="105">
        <f t="shared" si="110"/>
        <v>903.3</v>
      </c>
    </row>
    <row r="391" spans="1:6">
      <c r="A391" s="103" t="s">
        <v>49</v>
      </c>
      <c r="B391" s="219">
        <v>2520520300</v>
      </c>
      <c r="C391" s="224"/>
      <c r="D391" s="225" t="s">
        <v>342</v>
      </c>
      <c r="E391" s="105">
        <f t="shared" si="110"/>
        <v>1232.6000000000001</v>
      </c>
      <c r="F391" s="105">
        <f t="shared" si="110"/>
        <v>903.3</v>
      </c>
    </row>
    <row r="392" spans="1:6" ht="31.5">
      <c r="A392" s="103" t="s">
        <v>49</v>
      </c>
      <c r="B392" s="219">
        <v>2520520300</v>
      </c>
      <c r="C392" s="219" t="s">
        <v>92</v>
      </c>
      <c r="D392" s="56" t="s">
        <v>93</v>
      </c>
      <c r="E392" s="105">
        <f t="shared" si="110"/>
        <v>1232.6000000000001</v>
      </c>
      <c r="F392" s="105">
        <f t="shared" si="110"/>
        <v>903.3</v>
      </c>
    </row>
    <row r="393" spans="1:6">
      <c r="A393" s="103" t="s">
        <v>49</v>
      </c>
      <c r="B393" s="219">
        <v>2520520300</v>
      </c>
      <c r="C393" s="224">
        <v>610</v>
      </c>
      <c r="D393" s="56" t="s">
        <v>99</v>
      </c>
      <c r="E393" s="105">
        <f>'№ 6 ведом'!F685</f>
        <v>1232.6000000000001</v>
      </c>
      <c r="F393" s="105">
        <f>'№ 6 ведом'!G685</f>
        <v>903.3</v>
      </c>
    </row>
    <row r="394" spans="1:6" ht="31.5">
      <c r="A394" s="103" t="s">
        <v>49</v>
      </c>
      <c r="B394" s="219">
        <v>2520600000</v>
      </c>
      <c r="C394" s="224"/>
      <c r="D394" s="225" t="s">
        <v>340</v>
      </c>
      <c r="E394" s="105">
        <f t="shared" ref="E394:F396" si="111">E395</f>
        <v>578.20000000000005</v>
      </c>
      <c r="F394" s="105">
        <f t="shared" si="111"/>
        <v>452</v>
      </c>
    </row>
    <row r="395" spans="1:6">
      <c r="A395" s="103" t="s">
        <v>49</v>
      </c>
      <c r="B395" s="219">
        <v>2520620200</v>
      </c>
      <c r="C395" s="224"/>
      <c r="D395" s="225" t="s">
        <v>275</v>
      </c>
      <c r="E395" s="105">
        <f t="shared" si="111"/>
        <v>578.20000000000005</v>
      </c>
      <c r="F395" s="105">
        <f t="shared" si="111"/>
        <v>452</v>
      </c>
    </row>
    <row r="396" spans="1:6" ht="31.5">
      <c r="A396" s="103" t="s">
        <v>49</v>
      </c>
      <c r="B396" s="219">
        <v>2520620200</v>
      </c>
      <c r="C396" s="219" t="s">
        <v>92</v>
      </c>
      <c r="D396" s="56" t="s">
        <v>93</v>
      </c>
      <c r="E396" s="105">
        <f t="shared" si="111"/>
        <v>578.20000000000005</v>
      </c>
      <c r="F396" s="105">
        <f t="shared" si="111"/>
        <v>452</v>
      </c>
    </row>
    <row r="397" spans="1:6">
      <c r="A397" s="103" t="s">
        <v>49</v>
      </c>
      <c r="B397" s="219">
        <v>2520620200</v>
      </c>
      <c r="C397" s="224">
        <v>610</v>
      </c>
      <c r="D397" s="56" t="s">
        <v>99</v>
      </c>
      <c r="E397" s="105">
        <f>'№ 6 ведом'!F689</f>
        <v>578.20000000000005</v>
      </c>
      <c r="F397" s="105">
        <f>'№ 6 ведом'!G689</f>
        <v>452</v>
      </c>
    </row>
    <row r="398" spans="1:6">
      <c r="A398" s="224" t="s">
        <v>50</v>
      </c>
      <c r="B398" s="224" t="s">
        <v>64</v>
      </c>
      <c r="C398" s="224" t="s">
        <v>64</v>
      </c>
      <c r="D398" s="49" t="s">
        <v>11</v>
      </c>
      <c r="E398" s="17">
        <f>E399+E471+E493</f>
        <v>397079.69999999995</v>
      </c>
      <c r="F398" s="17">
        <f>F399+F471+F493</f>
        <v>396128.6</v>
      </c>
    </row>
    <row r="399" spans="1:6" ht="47.25">
      <c r="A399" s="224" t="s">
        <v>50</v>
      </c>
      <c r="B399" s="219">
        <v>2100000000</v>
      </c>
      <c r="C399" s="224"/>
      <c r="D399" s="225" t="s">
        <v>313</v>
      </c>
      <c r="E399" s="17">
        <f>E400+E459+E448</f>
        <v>391533.89999999997</v>
      </c>
      <c r="F399" s="17">
        <f>F400+F459+F448</f>
        <v>391258.5</v>
      </c>
    </row>
    <row r="400" spans="1:6">
      <c r="A400" s="224" t="s">
        <v>50</v>
      </c>
      <c r="B400" s="224">
        <v>2110000000</v>
      </c>
      <c r="C400" s="224"/>
      <c r="D400" s="49" t="s">
        <v>159</v>
      </c>
      <c r="E400" s="17">
        <f>E401+E414+E428+E432+E418+E440+E444+E436</f>
        <v>385899.89999999997</v>
      </c>
      <c r="F400" s="17">
        <f>F401+F414+F428+F432+F418+F440+F444+F436</f>
        <v>385656.5</v>
      </c>
    </row>
    <row r="401" spans="1:6" ht="47.25">
      <c r="A401" s="224" t="s">
        <v>50</v>
      </c>
      <c r="B401" s="224">
        <v>2110100000</v>
      </c>
      <c r="C401" s="24"/>
      <c r="D401" s="49" t="s">
        <v>160</v>
      </c>
      <c r="E401" s="17">
        <f>E405+E402+E408+E411</f>
        <v>307676</v>
      </c>
      <c r="F401" s="17">
        <f>F405+F402+F408+F411</f>
        <v>307676</v>
      </c>
    </row>
    <row r="402" spans="1:6" ht="94.5">
      <c r="A402" s="224" t="s">
        <v>50</v>
      </c>
      <c r="B402" s="224">
        <v>2110110750</v>
      </c>
      <c r="C402" s="224"/>
      <c r="D402" s="49" t="s">
        <v>161</v>
      </c>
      <c r="E402" s="17">
        <f t="shared" ref="E402:F403" si="112">E403</f>
        <v>258828.3</v>
      </c>
      <c r="F402" s="17">
        <f t="shared" si="112"/>
        <v>258828.3</v>
      </c>
    </row>
    <row r="403" spans="1:6" ht="31.5">
      <c r="A403" s="224" t="s">
        <v>50</v>
      </c>
      <c r="B403" s="224">
        <v>2110110750</v>
      </c>
      <c r="C403" s="219" t="s">
        <v>92</v>
      </c>
      <c r="D403" s="225" t="s">
        <v>93</v>
      </c>
      <c r="E403" s="17">
        <f t="shared" si="112"/>
        <v>258828.3</v>
      </c>
      <c r="F403" s="17">
        <f t="shared" si="112"/>
        <v>258828.3</v>
      </c>
    </row>
    <row r="404" spans="1:6">
      <c r="A404" s="224" t="s">
        <v>50</v>
      </c>
      <c r="B404" s="224">
        <v>2110110750</v>
      </c>
      <c r="C404" s="224">
        <v>610</v>
      </c>
      <c r="D404" s="225" t="s">
        <v>99</v>
      </c>
      <c r="E404" s="17">
        <f>'№ 6 ведом'!F696</f>
        <v>258828.3</v>
      </c>
      <c r="F404" s="17">
        <f>'№ 6 ведом'!G696</f>
        <v>258828.3</v>
      </c>
    </row>
    <row r="405" spans="1:6" ht="31.5">
      <c r="A405" s="224" t="s">
        <v>50</v>
      </c>
      <c r="B405" s="10" t="s">
        <v>307</v>
      </c>
      <c r="C405" s="10"/>
      <c r="D405" s="42" t="s">
        <v>118</v>
      </c>
      <c r="E405" s="17">
        <f t="shared" ref="E405:F406" si="113">E406</f>
        <v>48510.69999999999</v>
      </c>
      <c r="F405" s="17">
        <f t="shared" si="113"/>
        <v>48510.7</v>
      </c>
    </row>
    <row r="406" spans="1:6" ht="31.5">
      <c r="A406" s="224" t="s">
        <v>50</v>
      </c>
      <c r="B406" s="10" t="s">
        <v>307</v>
      </c>
      <c r="C406" s="219" t="s">
        <v>92</v>
      </c>
      <c r="D406" s="225" t="s">
        <v>93</v>
      </c>
      <c r="E406" s="17">
        <f t="shared" si="113"/>
        <v>48510.69999999999</v>
      </c>
      <c r="F406" s="17">
        <f t="shared" si="113"/>
        <v>48510.7</v>
      </c>
    </row>
    <row r="407" spans="1:6">
      <c r="A407" s="224" t="s">
        <v>50</v>
      </c>
      <c r="B407" s="10" t="s">
        <v>307</v>
      </c>
      <c r="C407" s="224">
        <v>610</v>
      </c>
      <c r="D407" s="225" t="s">
        <v>99</v>
      </c>
      <c r="E407" s="17">
        <f>'№ 6 ведом'!F699</f>
        <v>48510.69999999999</v>
      </c>
      <c r="F407" s="17">
        <f>'№ 6 ведом'!G699</f>
        <v>48510.7</v>
      </c>
    </row>
    <row r="408" spans="1:6" ht="47.25">
      <c r="A408" s="224" t="s">
        <v>50</v>
      </c>
      <c r="B408" s="10" t="s">
        <v>400</v>
      </c>
      <c r="C408" s="10"/>
      <c r="D408" s="42" t="s">
        <v>401</v>
      </c>
      <c r="E408" s="17">
        <f>E409</f>
        <v>333.6</v>
      </c>
      <c r="F408" s="17">
        <f>F409</f>
        <v>333.6</v>
      </c>
    </row>
    <row r="409" spans="1:6" ht="31.5">
      <c r="A409" s="224" t="s">
        <v>50</v>
      </c>
      <c r="B409" s="10" t="s">
        <v>400</v>
      </c>
      <c r="C409" s="219" t="s">
        <v>92</v>
      </c>
      <c r="D409" s="225" t="s">
        <v>93</v>
      </c>
      <c r="E409" s="17">
        <f>E410</f>
        <v>333.6</v>
      </c>
      <c r="F409" s="17">
        <f>F410</f>
        <v>333.6</v>
      </c>
    </row>
    <row r="410" spans="1:6">
      <c r="A410" s="224" t="s">
        <v>50</v>
      </c>
      <c r="B410" s="10" t="s">
        <v>400</v>
      </c>
      <c r="C410" s="224">
        <v>610</v>
      </c>
      <c r="D410" s="225" t="s">
        <v>99</v>
      </c>
      <c r="E410" s="17">
        <f>'№ 6 ведом'!F702</f>
        <v>333.6</v>
      </c>
      <c r="F410" s="17">
        <f>'№ 6 ведом'!G702</f>
        <v>333.6</v>
      </c>
    </row>
    <row r="411" spans="1:6" ht="47.25">
      <c r="A411" s="224" t="s">
        <v>50</v>
      </c>
      <c r="B411" s="10" t="s">
        <v>402</v>
      </c>
      <c r="C411" s="11"/>
      <c r="D411" s="225" t="s">
        <v>403</v>
      </c>
      <c r="E411" s="17">
        <f>E412</f>
        <v>3.4</v>
      </c>
      <c r="F411" s="17">
        <f>F412</f>
        <v>3.4</v>
      </c>
    </row>
    <row r="412" spans="1:6" ht="31.5">
      <c r="A412" s="224" t="s">
        <v>50</v>
      </c>
      <c r="B412" s="10" t="s">
        <v>402</v>
      </c>
      <c r="C412" s="219" t="s">
        <v>92</v>
      </c>
      <c r="D412" s="225" t="s">
        <v>93</v>
      </c>
      <c r="E412" s="17">
        <f>E413</f>
        <v>3.4</v>
      </c>
      <c r="F412" s="17">
        <f>F413</f>
        <v>3.4</v>
      </c>
    </row>
    <row r="413" spans="1:6">
      <c r="A413" s="224" t="s">
        <v>50</v>
      </c>
      <c r="B413" s="10" t="s">
        <v>402</v>
      </c>
      <c r="C413" s="224">
        <v>610</v>
      </c>
      <c r="D413" s="225" t="s">
        <v>99</v>
      </c>
      <c r="E413" s="17">
        <f>'№ 6 ведом'!F705</f>
        <v>3.4</v>
      </c>
      <c r="F413" s="17">
        <f>'№ 6 ведом'!G705</f>
        <v>3.4</v>
      </c>
    </row>
    <row r="414" spans="1:6" ht="31.5">
      <c r="A414" s="224" t="s">
        <v>50</v>
      </c>
      <c r="B414" s="224">
        <v>2110300000</v>
      </c>
      <c r="C414" s="224"/>
      <c r="D414" s="49" t="s">
        <v>162</v>
      </c>
      <c r="E414" s="17">
        <f t="shared" ref="E414:F416" si="114">E415</f>
        <v>25004.799999999999</v>
      </c>
      <c r="F414" s="17">
        <f t="shared" si="114"/>
        <v>25004.799999999999</v>
      </c>
    </row>
    <row r="415" spans="1:6" ht="47.25">
      <c r="A415" s="224" t="s">
        <v>50</v>
      </c>
      <c r="B415" s="224" t="s">
        <v>370</v>
      </c>
      <c r="C415" s="224"/>
      <c r="D415" s="225" t="s">
        <v>266</v>
      </c>
      <c r="E415" s="17">
        <f t="shared" si="114"/>
        <v>25004.799999999999</v>
      </c>
      <c r="F415" s="17">
        <f t="shared" si="114"/>
        <v>25004.799999999999</v>
      </c>
    </row>
    <row r="416" spans="1:6" ht="31.5">
      <c r="A416" s="224" t="s">
        <v>50</v>
      </c>
      <c r="B416" s="224" t="s">
        <v>370</v>
      </c>
      <c r="C416" s="219" t="s">
        <v>92</v>
      </c>
      <c r="D416" s="225" t="s">
        <v>93</v>
      </c>
      <c r="E416" s="17">
        <f t="shared" si="114"/>
        <v>25004.799999999999</v>
      </c>
      <c r="F416" s="17">
        <f t="shared" si="114"/>
        <v>25004.799999999999</v>
      </c>
    </row>
    <row r="417" spans="1:6">
      <c r="A417" s="224" t="s">
        <v>50</v>
      </c>
      <c r="B417" s="224" t="s">
        <v>370</v>
      </c>
      <c r="C417" s="224">
        <v>610</v>
      </c>
      <c r="D417" s="225" t="s">
        <v>99</v>
      </c>
      <c r="E417" s="17">
        <f>'№ 6 ведом'!F709</f>
        <v>25004.799999999999</v>
      </c>
      <c r="F417" s="17">
        <f>'№ 6 ведом'!G709</f>
        <v>25004.799999999999</v>
      </c>
    </row>
    <row r="418" spans="1:6" ht="78.75">
      <c r="A418" s="224" t="s">
        <v>50</v>
      </c>
      <c r="B418" s="224">
        <v>2110500000</v>
      </c>
      <c r="C418" s="224"/>
      <c r="D418" s="225" t="s">
        <v>242</v>
      </c>
      <c r="E418" s="17">
        <f>E425+E419+E422</f>
        <v>31370.2</v>
      </c>
      <c r="F418" s="17">
        <f>F425+F419+F422</f>
        <v>31279</v>
      </c>
    </row>
    <row r="419" spans="1:6" ht="47.25">
      <c r="A419" s="219" t="s">
        <v>50</v>
      </c>
      <c r="B419" s="219">
        <v>2110510440</v>
      </c>
      <c r="C419" s="219"/>
      <c r="D419" s="225" t="s">
        <v>353</v>
      </c>
      <c r="E419" s="17">
        <f>E420</f>
        <v>17661.3</v>
      </c>
      <c r="F419" s="17">
        <f>F420</f>
        <v>17651.400000000001</v>
      </c>
    </row>
    <row r="420" spans="1:6" ht="31.5">
      <c r="A420" s="219" t="s">
        <v>50</v>
      </c>
      <c r="B420" s="219">
        <v>2110510440</v>
      </c>
      <c r="C420" s="219" t="s">
        <v>92</v>
      </c>
      <c r="D420" s="225" t="s">
        <v>93</v>
      </c>
      <c r="E420" s="17">
        <f>E421</f>
        <v>17661.3</v>
      </c>
      <c r="F420" s="17">
        <f>F421</f>
        <v>17651.400000000001</v>
      </c>
    </row>
    <row r="421" spans="1:6">
      <c r="A421" s="219" t="s">
        <v>50</v>
      </c>
      <c r="B421" s="219">
        <v>2110510440</v>
      </c>
      <c r="C421" s="219">
        <v>610</v>
      </c>
      <c r="D421" s="225" t="s">
        <v>99</v>
      </c>
      <c r="E421" s="17">
        <f>'№ 6 ведом'!F713</f>
        <v>17661.3</v>
      </c>
      <c r="F421" s="17">
        <f>'№ 6 ведом'!G713</f>
        <v>17651.400000000001</v>
      </c>
    </row>
    <row r="422" spans="1:6" ht="31.5">
      <c r="A422" s="224" t="s">
        <v>50</v>
      </c>
      <c r="B422" s="10" t="s">
        <v>357</v>
      </c>
      <c r="C422" s="224"/>
      <c r="D422" s="56" t="s">
        <v>358</v>
      </c>
      <c r="E422" s="17">
        <f>E423</f>
        <v>5810</v>
      </c>
      <c r="F422" s="17">
        <f>F423</f>
        <v>5750</v>
      </c>
    </row>
    <row r="423" spans="1:6" ht="31.5">
      <c r="A423" s="224" t="s">
        <v>50</v>
      </c>
      <c r="B423" s="10" t="s">
        <v>357</v>
      </c>
      <c r="C423" s="219" t="s">
        <v>92</v>
      </c>
      <c r="D423" s="225" t="s">
        <v>93</v>
      </c>
      <c r="E423" s="17">
        <f>E424</f>
        <v>5810</v>
      </c>
      <c r="F423" s="17">
        <f>F424</f>
        <v>5750</v>
      </c>
    </row>
    <row r="424" spans="1:6">
      <c r="A424" s="224" t="s">
        <v>50</v>
      </c>
      <c r="B424" s="10" t="s">
        <v>357</v>
      </c>
      <c r="C424" s="224">
        <v>610</v>
      </c>
      <c r="D424" s="225" t="s">
        <v>99</v>
      </c>
      <c r="E424" s="17">
        <f>'№ 6 ведом'!F716</f>
        <v>5810</v>
      </c>
      <c r="F424" s="17">
        <f>'№ 6 ведом'!G716</f>
        <v>5750</v>
      </c>
    </row>
    <row r="425" spans="1:6" ht="31.5">
      <c r="A425" s="219" t="s">
        <v>50</v>
      </c>
      <c r="B425" s="219" t="s">
        <v>328</v>
      </c>
      <c r="C425" s="219"/>
      <c r="D425" s="225" t="s">
        <v>325</v>
      </c>
      <c r="E425" s="17">
        <f t="shared" ref="E425:F426" si="115">E426</f>
        <v>7898.9000000000015</v>
      </c>
      <c r="F425" s="17">
        <f t="shared" si="115"/>
        <v>7877.6</v>
      </c>
    </row>
    <row r="426" spans="1:6" ht="31.5">
      <c r="A426" s="219" t="s">
        <v>50</v>
      </c>
      <c r="B426" s="219" t="s">
        <v>328</v>
      </c>
      <c r="C426" s="219" t="s">
        <v>92</v>
      </c>
      <c r="D426" s="225" t="s">
        <v>93</v>
      </c>
      <c r="E426" s="17">
        <f t="shared" si="115"/>
        <v>7898.9000000000015</v>
      </c>
      <c r="F426" s="17">
        <f t="shared" si="115"/>
        <v>7877.6</v>
      </c>
    </row>
    <row r="427" spans="1:6">
      <c r="A427" s="219" t="s">
        <v>50</v>
      </c>
      <c r="B427" s="219" t="s">
        <v>328</v>
      </c>
      <c r="C427" s="219">
        <v>610</v>
      </c>
      <c r="D427" s="225" t="s">
        <v>99</v>
      </c>
      <c r="E427" s="17">
        <f>'№ 6 ведом'!F719</f>
        <v>7898.9000000000015</v>
      </c>
      <c r="F427" s="17">
        <f>'№ 6 ведом'!G719</f>
        <v>7877.6</v>
      </c>
    </row>
    <row r="428" spans="1:6" ht="47.25">
      <c r="A428" s="224" t="s">
        <v>50</v>
      </c>
      <c r="B428" s="224">
        <v>2110600000</v>
      </c>
      <c r="C428" s="224"/>
      <c r="D428" s="225" t="s">
        <v>267</v>
      </c>
      <c r="E428" s="17">
        <f t="shared" ref="E428:F430" si="116">E429</f>
        <v>14269.999999999998</v>
      </c>
      <c r="F428" s="17">
        <f t="shared" si="116"/>
        <v>14270</v>
      </c>
    </row>
    <row r="429" spans="1:6" ht="47.25">
      <c r="A429" s="224" t="s">
        <v>50</v>
      </c>
      <c r="B429" s="224">
        <v>2110653031</v>
      </c>
      <c r="C429" s="224"/>
      <c r="D429" s="62" t="s">
        <v>268</v>
      </c>
      <c r="E429" s="17">
        <f t="shared" si="116"/>
        <v>14269.999999999998</v>
      </c>
      <c r="F429" s="17">
        <f t="shared" si="116"/>
        <v>14270</v>
      </c>
    </row>
    <row r="430" spans="1:6" ht="31.5">
      <c r="A430" s="224" t="s">
        <v>50</v>
      </c>
      <c r="B430" s="224">
        <v>2110653031</v>
      </c>
      <c r="C430" s="219" t="s">
        <v>92</v>
      </c>
      <c r="D430" s="225" t="s">
        <v>93</v>
      </c>
      <c r="E430" s="17">
        <f t="shared" si="116"/>
        <v>14269.999999999998</v>
      </c>
      <c r="F430" s="17">
        <f t="shared" si="116"/>
        <v>14270</v>
      </c>
    </row>
    <row r="431" spans="1:6">
      <c r="A431" s="224" t="s">
        <v>50</v>
      </c>
      <c r="B431" s="224">
        <v>2110653031</v>
      </c>
      <c r="C431" s="224">
        <v>610</v>
      </c>
      <c r="D431" s="225" t="s">
        <v>99</v>
      </c>
      <c r="E431" s="17">
        <f>'№ 6 ведом'!F723</f>
        <v>14269.999999999998</v>
      </c>
      <c r="F431" s="17">
        <f>'№ 6 ведом'!G723</f>
        <v>14270</v>
      </c>
    </row>
    <row r="432" spans="1:6" ht="47.25">
      <c r="A432" s="224" t="s">
        <v>50</v>
      </c>
      <c r="B432" s="224">
        <v>2110700000</v>
      </c>
      <c r="C432" s="224"/>
      <c r="D432" s="225" t="s">
        <v>277</v>
      </c>
      <c r="E432" s="17">
        <f t="shared" ref="E432:F434" si="117">E433</f>
        <v>3003.1</v>
      </c>
      <c r="F432" s="17">
        <f t="shared" si="117"/>
        <v>2850.9</v>
      </c>
    </row>
    <row r="433" spans="1:6" ht="47.25">
      <c r="A433" s="224" t="s">
        <v>50</v>
      </c>
      <c r="B433" s="224">
        <v>2110720020</v>
      </c>
      <c r="C433" s="224"/>
      <c r="D433" s="225" t="s">
        <v>284</v>
      </c>
      <c r="E433" s="17">
        <f t="shared" si="117"/>
        <v>3003.1</v>
      </c>
      <c r="F433" s="17">
        <f t="shared" si="117"/>
        <v>2850.9</v>
      </c>
    </row>
    <row r="434" spans="1:6" ht="31.5">
      <c r="A434" s="224" t="s">
        <v>50</v>
      </c>
      <c r="B434" s="224">
        <v>2110720020</v>
      </c>
      <c r="C434" s="219" t="s">
        <v>92</v>
      </c>
      <c r="D434" s="225" t="s">
        <v>93</v>
      </c>
      <c r="E434" s="17">
        <f t="shared" si="117"/>
        <v>3003.1</v>
      </c>
      <c r="F434" s="17">
        <f t="shared" si="117"/>
        <v>2850.9</v>
      </c>
    </row>
    <row r="435" spans="1:6">
      <c r="A435" s="224" t="s">
        <v>50</v>
      </c>
      <c r="B435" s="224">
        <v>2110720020</v>
      </c>
      <c r="C435" s="224">
        <v>610</v>
      </c>
      <c r="D435" s="225" t="s">
        <v>99</v>
      </c>
      <c r="E435" s="17">
        <f>'№ 6 ведом'!F727</f>
        <v>3003.1</v>
      </c>
      <c r="F435" s="17">
        <f>'№ 6 ведом'!G727</f>
        <v>2850.9</v>
      </c>
    </row>
    <row r="436" spans="1:6" ht="63">
      <c r="A436" s="224" t="s">
        <v>50</v>
      </c>
      <c r="B436" s="224">
        <v>2110800000</v>
      </c>
      <c r="C436" s="224"/>
      <c r="D436" s="62" t="s">
        <v>390</v>
      </c>
      <c r="E436" s="17">
        <f t="shared" ref="E436:F438" si="118">E437</f>
        <v>3289.2000000000003</v>
      </c>
      <c r="F436" s="17">
        <f t="shared" si="118"/>
        <v>3289.2</v>
      </c>
    </row>
    <row r="437" spans="1:6" ht="31.5">
      <c r="A437" s="224" t="s">
        <v>50</v>
      </c>
      <c r="B437" s="224">
        <v>2110820030</v>
      </c>
      <c r="C437" s="224"/>
      <c r="D437" s="200" t="s">
        <v>389</v>
      </c>
      <c r="E437" s="17">
        <f t="shared" si="118"/>
        <v>3289.2000000000003</v>
      </c>
      <c r="F437" s="17">
        <f t="shared" si="118"/>
        <v>3289.2</v>
      </c>
    </row>
    <row r="438" spans="1:6" ht="31.5">
      <c r="A438" s="224" t="s">
        <v>50</v>
      </c>
      <c r="B438" s="224">
        <v>2110820030</v>
      </c>
      <c r="C438" s="219" t="s">
        <v>92</v>
      </c>
      <c r="D438" s="200" t="s">
        <v>93</v>
      </c>
      <c r="E438" s="17">
        <f t="shared" si="118"/>
        <v>3289.2000000000003</v>
      </c>
      <c r="F438" s="17">
        <f t="shared" si="118"/>
        <v>3289.2</v>
      </c>
    </row>
    <row r="439" spans="1:6">
      <c r="A439" s="224" t="s">
        <v>50</v>
      </c>
      <c r="B439" s="224">
        <v>2110820030</v>
      </c>
      <c r="C439" s="224">
        <v>610</v>
      </c>
      <c r="D439" s="225" t="s">
        <v>99</v>
      </c>
      <c r="E439" s="17">
        <f>'№ 6 ведом'!F731</f>
        <v>3289.2000000000003</v>
      </c>
      <c r="F439" s="17">
        <f>'№ 6 ведом'!G731</f>
        <v>3289.2</v>
      </c>
    </row>
    <row r="440" spans="1:6" ht="31.5">
      <c r="A440" s="224" t="s">
        <v>50</v>
      </c>
      <c r="B440" s="224">
        <v>2110900000</v>
      </c>
      <c r="C440" s="224"/>
      <c r="D440" s="131" t="s">
        <v>372</v>
      </c>
      <c r="E440" s="17">
        <f t="shared" ref="E440:F442" si="119">E441</f>
        <v>509.8</v>
      </c>
      <c r="F440" s="17">
        <f t="shared" si="119"/>
        <v>509.8</v>
      </c>
    </row>
    <row r="441" spans="1:6" ht="47.25">
      <c r="A441" s="224" t="s">
        <v>50</v>
      </c>
      <c r="B441" s="224">
        <v>2110918020</v>
      </c>
      <c r="C441" s="224"/>
      <c r="D441" s="131" t="s">
        <v>373</v>
      </c>
      <c r="E441" s="17">
        <f t="shared" si="119"/>
        <v>509.8</v>
      </c>
      <c r="F441" s="17">
        <f t="shared" si="119"/>
        <v>509.8</v>
      </c>
    </row>
    <row r="442" spans="1:6" ht="31.5">
      <c r="A442" s="224" t="s">
        <v>50</v>
      </c>
      <c r="B442" s="224">
        <v>2110918020</v>
      </c>
      <c r="C442" s="219" t="s">
        <v>92</v>
      </c>
      <c r="D442" s="225" t="s">
        <v>93</v>
      </c>
      <c r="E442" s="17">
        <f t="shared" si="119"/>
        <v>509.8</v>
      </c>
      <c r="F442" s="17">
        <f t="shared" si="119"/>
        <v>509.8</v>
      </c>
    </row>
    <row r="443" spans="1:6">
      <c r="A443" s="224" t="s">
        <v>50</v>
      </c>
      <c r="B443" s="224">
        <v>2110918020</v>
      </c>
      <c r="C443" s="224">
        <v>610</v>
      </c>
      <c r="D443" s="225" t="s">
        <v>99</v>
      </c>
      <c r="E443" s="17">
        <f>'№ 6 ведом'!F735</f>
        <v>509.8</v>
      </c>
      <c r="F443" s="17">
        <f>'№ 6 ведом'!G735</f>
        <v>509.8</v>
      </c>
    </row>
    <row r="444" spans="1:6" ht="47.25">
      <c r="A444" s="224" t="s">
        <v>50</v>
      </c>
      <c r="B444" s="224" t="s">
        <v>387</v>
      </c>
      <c r="C444" s="224"/>
      <c r="D444" s="131" t="s">
        <v>476</v>
      </c>
      <c r="E444" s="17">
        <f t="shared" ref="E444:F446" si="120">E445</f>
        <v>776.8</v>
      </c>
      <c r="F444" s="17">
        <f t="shared" si="120"/>
        <v>776.8</v>
      </c>
    </row>
    <row r="445" spans="1:6" ht="63">
      <c r="A445" s="224" t="s">
        <v>50</v>
      </c>
      <c r="B445" s="199" t="s">
        <v>386</v>
      </c>
      <c r="C445" s="224"/>
      <c r="D445" s="8" t="s">
        <v>388</v>
      </c>
      <c r="E445" s="17">
        <f t="shared" si="120"/>
        <v>776.8</v>
      </c>
      <c r="F445" s="17">
        <f t="shared" si="120"/>
        <v>776.8</v>
      </c>
    </row>
    <row r="446" spans="1:6" ht="31.5">
      <c r="A446" s="224" t="s">
        <v>50</v>
      </c>
      <c r="B446" s="199" t="s">
        <v>386</v>
      </c>
      <c r="C446" s="219" t="s">
        <v>92</v>
      </c>
      <c r="D446" s="225" t="s">
        <v>93</v>
      </c>
      <c r="E446" s="17">
        <f t="shared" si="120"/>
        <v>776.8</v>
      </c>
      <c r="F446" s="17">
        <f t="shared" si="120"/>
        <v>776.8</v>
      </c>
    </row>
    <row r="447" spans="1:6">
      <c r="A447" s="224" t="s">
        <v>50</v>
      </c>
      <c r="B447" s="199" t="s">
        <v>386</v>
      </c>
      <c r="C447" s="224">
        <v>610</v>
      </c>
      <c r="D447" s="225" t="s">
        <v>99</v>
      </c>
      <c r="E447" s="17">
        <f>'№ 6 ведом'!F739</f>
        <v>776.8</v>
      </c>
      <c r="F447" s="17">
        <f>'№ 6 ведом'!G739</f>
        <v>776.8</v>
      </c>
    </row>
    <row r="448" spans="1:6">
      <c r="A448" s="219" t="s">
        <v>50</v>
      </c>
      <c r="B448" s="219">
        <v>2120000000</v>
      </c>
      <c r="C448" s="219"/>
      <c r="D448" s="225" t="s">
        <v>116</v>
      </c>
      <c r="E448" s="17">
        <f>E449</f>
        <v>5399.5999999999995</v>
      </c>
      <c r="F448" s="17">
        <f>F449</f>
        <v>5399.5999999999995</v>
      </c>
    </row>
    <row r="449" spans="1:6" ht="47.25">
      <c r="A449" s="219" t="s">
        <v>50</v>
      </c>
      <c r="B449" s="219">
        <v>2120100000</v>
      </c>
      <c r="C449" s="219"/>
      <c r="D449" s="225" t="s">
        <v>117</v>
      </c>
      <c r="E449" s="17">
        <f>E450+E453+E456</f>
        <v>5399.5999999999995</v>
      </c>
      <c r="F449" s="17">
        <f>F450+F453+F456</f>
        <v>5399.5999999999995</v>
      </c>
    </row>
    <row r="450" spans="1:6" ht="31.5">
      <c r="A450" s="219" t="s">
        <v>50</v>
      </c>
      <c r="B450" s="219">
        <v>2120120010</v>
      </c>
      <c r="C450" s="219"/>
      <c r="D450" s="225" t="s">
        <v>118</v>
      </c>
      <c r="E450" s="17">
        <f>E451</f>
        <v>5354.7</v>
      </c>
      <c r="F450" s="17">
        <f>F451</f>
        <v>5354.7</v>
      </c>
    </row>
    <row r="451" spans="1:6" ht="31.5">
      <c r="A451" s="219" t="s">
        <v>50</v>
      </c>
      <c r="B451" s="219">
        <v>2120120010</v>
      </c>
      <c r="C451" s="219" t="s">
        <v>92</v>
      </c>
      <c r="D451" s="225" t="s">
        <v>93</v>
      </c>
      <c r="E451" s="17">
        <f>E452</f>
        <v>5354.7</v>
      </c>
      <c r="F451" s="17">
        <f>F452</f>
        <v>5354.7</v>
      </c>
    </row>
    <row r="452" spans="1:6">
      <c r="A452" s="219" t="s">
        <v>50</v>
      </c>
      <c r="B452" s="219">
        <v>2120120010</v>
      </c>
      <c r="C452" s="219">
        <v>610</v>
      </c>
      <c r="D452" s="225" t="s">
        <v>99</v>
      </c>
      <c r="E452" s="17">
        <f>'№ 6 ведом'!F744</f>
        <v>5354.7</v>
      </c>
      <c r="F452" s="17">
        <f>'№ 6 ведом'!G744</f>
        <v>5354.7</v>
      </c>
    </row>
    <row r="453" spans="1:6" ht="47.25">
      <c r="A453" s="224" t="s">
        <v>50</v>
      </c>
      <c r="B453" s="10" t="s">
        <v>404</v>
      </c>
      <c r="C453" s="10"/>
      <c r="D453" s="42" t="s">
        <v>401</v>
      </c>
      <c r="E453" s="17">
        <f>E454</f>
        <v>44.5</v>
      </c>
      <c r="F453" s="17">
        <f>F454</f>
        <v>44.5</v>
      </c>
    </row>
    <row r="454" spans="1:6" ht="31.5">
      <c r="A454" s="224" t="s">
        <v>50</v>
      </c>
      <c r="B454" s="10" t="s">
        <v>404</v>
      </c>
      <c r="C454" s="219" t="s">
        <v>92</v>
      </c>
      <c r="D454" s="225" t="s">
        <v>93</v>
      </c>
      <c r="E454" s="17">
        <f>E455</f>
        <v>44.5</v>
      </c>
      <c r="F454" s="17">
        <f>F455</f>
        <v>44.5</v>
      </c>
    </row>
    <row r="455" spans="1:6">
      <c r="A455" s="224" t="s">
        <v>50</v>
      </c>
      <c r="B455" s="10" t="s">
        <v>404</v>
      </c>
      <c r="C455" s="224">
        <v>610</v>
      </c>
      <c r="D455" s="225" t="s">
        <v>99</v>
      </c>
      <c r="E455" s="17">
        <f>'№ 6 ведом'!F747</f>
        <v>44.5</v>
      </c>
      <c r="F455" s="17">
        <f>'№ 6 ведом'!G747</f>
        <v>44.5</v>
      </c>
    </row>
    <row r="456" spans="1:6" ht="47.25">
      <c r="A456" s="224" t="s">
        <v>50</v>
      </c>
      <c r="B456" s="10" t="s">
        <v>405</v>
      </c>
      <c r="C456" s="11"/>
      <c r="D456" s="225" t="s">
        <v>403</v>
      </c>
      <c r="E456" s="17">
        <f>E457</f>
        <v>0.4</v>
      </c>
      <c r="F456" s="17">
        <f>F457</f>
        <v>0.4</v>
      </c>
    </row>
    <row r="457" spans="1:6" ht="31.5">
      <c r="A457" s="224" t="s">
        <v>50</v>
      </c>
      <c r="B457" s="10" t="s">
        <v>405</v>
      </c>
      <c r="C457" s="219" t="s">
        <v>92</v>
      </c>
      <c r="D457" s="225" t="s">
        <v>93</v>
      </c>
      <c r="E457" s="17">
        <f>E458</f>
        <v>0.4</v>
      </c>
      <c r="F457" s="17">
        <f>F458</f>
        <v>0.4</v>
      </c>
    </row>
    <row r="458" spans="1:6">
      <c r="A458" s="224" t="s">
        <v>50</v>
      </c>
      <c r="B458" s="10" t="s">
        <v>405</v>
      </c>
      <c r="C458" s="224">
        <v>610</v>
      </c>
      <c r="D458" s="225" t="s">
        <v>99</v>
      </c>
      <c r="E458" s="17">
        <f>'№ 6 ведом'!F750</f>
        <v>0.4</v>
      </c>
      <c r="F458" s="17">
        <f>'№ 6 ведом'!G750</f>
        <v>0.4</v>
      </c>
    </row>
    <row r="459" spans="1:6" ht="31.5">
      <c r="A459" s="224" t="s">
        <v>50</v>
      </c>
      <c r="B459" s="224">
        <v>2130000000</v>
      </c>
      <c r="C459" s="224"/>
      <c r="D459" s="225" t="s">
        <v>109</v>
      </c>
      <c r="E459" s="17">
        <f>E460+E467</f>
        <v>234.4</v>
      </c>
      <c r="F459" s="17">
        <f>F460+F467</f>
        <v>202.4</v>
      </c>
    </row>
    <row r="460" spans="1:6" ht="31.5">
      <c r="A460" s="224" t="s">
        <v>50</v>
      </c>
      <c r="B460" s="224">
        <v>2130100000</v>
      </c>
      <c r="C460" s="224"/>
      <c r="D460" s="225" t="s">
        <v>202</v>
      </c>
      <c r="E460" s="17">
        <f>E464+E461</f>
        <v>160</v>
      </c>
      <c r="F460" s="17">
        <f>F464+F461</f>
        <v>128</v>
      </c>
    </row>
    <row r="461" spans="1:6" ht="31.5">
      <c r="A461" s="224" t="s">
        <v>50</v>
      </c>
      <c r="B461" s="219">
        <v>2130111080</v>
      </c>
      <c r="C461" s="224"/>
      <c r="D461" s="225" t="s">
        <v>235</v>
      </c>
      <c r="E461" s="17">
        <f t="shared" ref="E461:F462" si="121">E462</f>
        <v>130.4</v>
      </c>
      <c r="F461" s="17">
        <f t="shared" si="121"/>
        <v>104.3</v>
      </c>
    </row>
    <row r="462" spans="1:6" ht="31.5">
      <c r="A462" s="224" t="s">
        <v>50</v>
      </c>
      <c r="B462" s="219">
        <v>2130111080</v>
      </c>
      <c r="C462" s="219" t="s">
        <v>92</v>
      </c>
      <c r="D462" s="225" t="s">
        <v>93</v>
      </c>
      <c r="E462" s="17">
        <f t="shared" si="121"/>
        <v>130.4</v>
      </c>
      <c r="F462" s="17">
        <f t="shared" si="121"/>
        <v>104.3</v>
      </c>
    </row>
    <row r="463" spans="1:6">
      <c r="A463" s="224" t="s">
        <v>50</v>
      </c>
      <c r="B463" s="219">
        <v>2130111080</v>
      </c>
      <c r="C463" s="224">
        <v>610</v>
      </c>
      <c r="D463" s="225" t="s">
        <v>99</v>
      </c>
      <c r="E463" s="17">
        <f>'№ 6 ведом'!F755</f>
        <v>130.4</v>
      </c>
      <c r="F463" s="17">
        <f>'№ 6 ведом'!G755</f>
        <v>104.3</v>
      </c>
    </row>
    <row r="464" spans="1:6" ht="31.5">
      <c r="A464" s="224" t="s">
        <v>50</v>
      </c>
      <c r="B464" s="219" t="s">
        <v>309</v>
      </c>
      <c r="C464" s="224"/>
      <c r="D464" s="225" t="s">
        <v>221</v>
      </c>
      <c r="E464" s="17">
        <f t="shared" ref="E464:F465" si="122">E465</f>
        <v>29.6</v>
      </c>
      <c r="F464" s="17">
        <f t="shared" si="122"/>
        <v>23.7</v>
      </c>
    </row>
    <row r="465" spans="1:6" ht="31.5">
      <c r="A465" s="224" t="s">
        <v>50</v>
      </c>
      <c r="B465" s="219" t="s">
        <v>309</v>
      </c>
      <c r="C465" s="219" t="s">
        <v>92</v>
      </c>
      <c r="D465" s="225" t="s">
        <v>93</v>
      </c>
      <c r="E465" s="17">
        <f t="shared" si="122"/>
        <v>29.6</v>
      </c>
      <c r="F465" s="17">
        <f t="shared" si="122"/>
        <v>23.7</v>
      </c>
    </row>
    <row r="466" spans="1:6">
      <c r="A466" s="224" t="s">
        <v>50</v>
      </c>
      <c r="B466" s="219" t="s">
        <v>309</v>
      </c>
      <c r="C466" s="224">
        <v>610</v>
      </c>
      <c r="D466" s="225" t="s">
        <v>99</v>
      </c>
      <c r="E466" s="17">
        <f>'№ 6 ведом'!F758</f>
        <v>29.6</v>
      </c>
      <c r="F466" s="17">
        <f>'№ 6 ведом'!G758</f>
        <v>23.7</v>
      </c>
    </row>
    <row r="467" spans="1:6" ht="47.25">
      <c r="A467" s="224" t="s">
        <v>50</v>
      </c>
      <c r="B467" s="219">
        <v>2130300000</v>
      </c>
      <c r="C467" s="24"/>
      <c r="D467" s="225" t="s">
        <v>110</v>
      </c>
      <c r="E467" s="17">
        <f t="shared" ref="E467:F469" si="123">E468</f>
        <v>74.400000000000006</v>
      </c>
      <c r="F467" s="17">
        <f t="shared" si="123"/>
        <v>74.400000000000006</v>
      </c>
    </row>
    <row r="468" spans="1:6" ht="31.5">
      <c r="A468" s="224" t="s">
        <v>50</v>
      </c>
      <c r="B468" s="219">
        <v>2130320280</v>
      </c>
      <c r="C468" s="24"/>
      <c r="D468" s="225" t="s">
        <v>111</v>
      </c>
      <c r="E468" s="17">
        <f t="shared" si="123"/>
        <v>74.400000000000006</v>
      </c>
      <c r="F468" s="17">
        <f t="shared" si="123"/>
        <v>74.400000000000006</v>
      </c>
    </row>
    <row r="469" spans="1:6" ht="31.5">
      <c r="A469" s="224" t="s">
        <v>50</v>
      </c>
      <c r="B469" s="219">
        <v>2130320280</v>
      </c>
      <c r="C469" s="219" t="s">
        <v>92</v>
      </c>
      <c r="D469" s="225" t="s">
        <v>93</v>
      </c>
      <c r="E469" s="17">
        <f t="shared" si="123"/>
        <v>74.400000000000006</v>
      </c>
      <c r="F469" s="17">
        <f t="shared" si="123"/>
        <v>74.400000000000006</v>
      </c>
    </row>
    <row r="470" spans="1:6">
      <c r="A470" s="224" t="s">
        <v>50</v>
      </c>
      <c r="B470" s="219">
        <v>2130320280</v>
      </c>
      <c r="C470" s="224">
        <v>610</v>
      </c>
      <c r="D470" s="225" t="s">
        <v>99</v>
      </c>
      <c r="E470" s="17">
        <f>'№ 6 ведом'!F762</f>
        <v>74.400000000000006</v>
      </c>
      <c r="F470" s="17">
        <f>'№ 6 ведом'!G762</f>
        <v>74.400000000000006</v>
      </c>
    </row>
    <row r="471" spans="1:6" ht="31.5">
      <c r="A471" s="224" t="s">
        <v>50</v>
      </c>
      <c r="B471" s="219">
        <v>2500000000</v>
      </c>
      <c r="C471" s="224"/>
      <c r="D471" s="56" t="s">
        <v>312</v>
      </c>
      <c r="E471" s="17">
        <f>E472</f>
        <v>5345.8000000000011</v>
      </c>
      <c r="F471" s="17">
        <f>F472</f>
        <v>4670.1000000000004</v>
      </c>
    </row>
    <row r="472" spans="1:6" ht="31.5">
      <c r="A472" s="224" t="s">
        <v>50</v>
      </c>
      <c r="B472" s="219">
        <v>2520000000</v>
      </c>
      <c r="C472" s="224"/>
      <c r="D472" s="56" t="s">
        <v>227</v>
      </c>
      <c r="E472" s="17">
        <f>E481+E485+E489+E477+E473</f>
        <v>5345.8000000000011</v>
      </c>
      <c r="F472" s="17">
        <f>F481+F485+F489+F477+F473</f>
        <v>4670.1000000000004</v>
      </c>
    </row>
    <row r="473" spans="1:6" ht="63">
      <c r="A473" s="224" t="s">
        <v>50</v>
      </c>
      <c r="B473" s="224">
        <v>2520100000</v>
      </c>
      <c r="C473" s="224"/>
      <c r="D473" s="56" t="s">
        <v>366</v>
      </c>
      <c r="E473" s="17">
        <f t="shared" ref="E473:F475" si="124">E474</f>
        <v>385.6</v>
      </c>
      <c r="F473" s="17">
        <f t="shared" si="124"/>
        <v>385.6</v>
      </c>
    </row>
    <row r="474" spans="1:6" ht="31.5">
      <c r="A474" s="224" t="s">
        <v>50</v>
      </c>
      <c r="B474" s="10" t="s">
        <v>367</v>
      </c>
      <c r="C474" s="224"/>
      <c r="D474" s="56" t="s">
        <v>368</v>
      </c>
      <c r="E474" s="17">
        <f t="shared" si="124"/>
        <v>385.6</v>
      </c>
      <c r="F474" s="17">
        <f t="shared" si="124"/>
        <v>385.6</v>
      </c>
    </row>
    <row r="475" spans="1:6" ht="31.5">
      <c r="A475" s="224" t="s">
        <v>50</v>
      </c>
      <c r="B475" s="10" t="s">
        <v>367</v>
      </c>
      <c r="C475" s="219" t="s">
        <v>92</v>
      </c>
      <c r="D475" s="56" t="s">
        <v>93</v>
      </c>
      <c r="E475" s="17">
        <f t="shared" si="124"/>
        <v>385.6</v>
      </c>
      <c r="F475" s="17">
        <f t="shared" si="124"/>
        <v>385.6</v>
      </c>
    </row>
    <row r="476" spans="1:6">
      <c r="A476" s="224" t="s">
        <v>50</v>
      </c>
      <c r="B476" s="10" t="s">
        <v>367</v>
      </c>
      <c r="C476" s="224">
        <v>610</v>
      </c>
      <c r="D476" s="56" t="s">
        <v>99</v>
      </c>
      <c r="E476" s="17">
        <f>'№ 6 ведом'!F768</f>
        <v>385.6</v>
      </c>
      <c r="F476" s="17">
        <f>'№ 6 ведом'!G768</f>
        <v>385.6</v>
      </c>
    </row>
    <row r="477" spans="1:6" ht="47.25">
      <c r="A477" s="224" t="s">
        <v>50</v>
      </c>
      <c r="B477" s="219">
        <v>2520200000</v>
      </c>
      <c r="C477" s="224"/>
      <c r="D477" s="225" t="s">
        <v>287</v>
      </c>
      <c r="E477" s="17">
        <f t="shared" ref="E477:F479" si="125">E478</f>
        <v>437</v>
      </c>
      <c r="F477" s="17">
        <f t="shared" si="125"/>
        <v>437</v>
      </c>
    </row>
    <row r="478" spans="1:6">
      <c r="A478" s="224" t="s">
        <v>50</v>
      </c>
      <c r="B478" s="219">
        <v>2520220190</v>
      </c>
      <c r="C478" s="219"/>
      <c r="D478" s="225" t="s">
        <v>324</v>
      </c>
      <c r="E478" s="17">
        <f t="shared" si="125"/>
        <v>437</v>
      </c>
      <c r="F478" s="17">
        <f t="shared" si="125"/>
        <v>437</v>
      </c>
    </row>
    <row r="479" spans="1:6" ht="31.5">
      <c r="A479" s="224" t="s">
        <v>50</v>
      </c>
      <c r="B479" s="219">
        <v>2520220190</v>
      </c>
      <c r="C479" s="219" t="s">
        <v>92</v>
      </c>
      <c r="D479" s="225" t="s">
        <v>93</v>
      </c>
      <c r="E479" s="17">
        <f t="shared" si="125"/>
        <v>437</v>
      </c>
      <c r="F479" s="17">
        <f t="shared" si="125"/>
        <v>437</v>
      </c>
    </row>
    <row r="480" spans="1:6">
      <c r="A480" s="224" t="s">
        <v>50</v>
      </c>
      <c r="B480" s="219">
        <v>2520220190</v>
      </c>
      <c r="C480" s="219">
        <v>610</v>
      </c>
      <c r="D480" s="225" t="s">
        <v>99</v>
      </c>
      <c r="E480" s="17">
        <f>'№ 6 ведом'!F772</f>
        <v>437</v>
      </c>
      <c r="F480" s="17">
        <f>'№ 6 ведом'!G772</f>
        <v>437</v>
      </c>
    </row>
    <row r="481" spans="1:6" ht="31.5">
      <c r="A481" s="224" t="s">
        <v>50</v>
      </c>
      <c r="B481" s="219">
        <v>2520400000</v>
      </c>
      <c r="C481" s="224"/>
      <c r="D481" s="56" t="s">
        <v>330</v>
      </c>
      <c r="E481" s="17">
        <f t="shared" ref="E481:F483" si="126">E482</f>
        <v>1580.5</v>
      </c>
      <c r="F481" s="17">
        <f t="shared" si="126"/>
        <v>1233</v>
      </c>
    </row>
    <row r="482" spans="1:6">
      <c r="A482" s="224" t="s">
        <v>50</v>
      </c>
      <c r="B482" s="219">
        <v>2520420300</v>
      </c>
      <c r="C482" s="224"/>
      <c r="D482" s="56" t="s">
        <v>331</v>
      </c>
      <c r="E482" s="17">
        <f t="shared" si="126"/>
        <v>1580.5</v>
      </c>
      <c r="F482" s="17">
        <f t="shared" si="126"/>
        <v>1233</v>
      </c>
    </row>
    <row r="483" spans="1:6" ht="31.5">
      <c r="A483" s="224" t="s">
        <v>50</v>
      </c>
      <c r="B483" s="219">
        <v>2520420300</v>
      </c>
      <c r="C483" s="219" t="s">
        <v>92</v>
      </c>
      <c r="D483" s="56" t="s">
        <v>93</v>
      </c>
      <c r="E483" s="17">
        <f t="shared" si="126"/>
        <v>1580.5</v>
      </c>
      <c r="F483" s="17">
        <f t="shared" si="126"/>
        <v>1233</v>
      </c>
    </row>
    <row r="484" spans="1:6">
      <c r="A484" s="224" t="s">
        <v>50</v>
      </c>
      <c r="B484" s="219">
        <v>2520420300</v>
      </c>
      <c r="C484" s="224">
        <v>610</v>
      </c>
      <c r="D484" s="56" t="s">
        <v>99</v>
      </c>
      <c r="E484" s="17">
        <f>'№ 6 ведом'!F776</f>
        <v>1580.5</v>
      </c>
      <c r="F484" s="17">
        <f>'№ 6 ведом'!G776</f>
        <v>1233</v>
      </c>
    </row>
    <row r="485" spans="1:6" ht="31.5">
      <c r="A485" s="224" t="s">
        <v>50</v>
      </c>
      <c r="B485" s="219">
        <v>2520500000</v>
      </c>
      <c r="C485" s="224"/>
      <c r="D485" s="225" t="s">
        <v>341</v>
      </c>
      <c r="E485" s="17">
        <f t="shared" ref="E485:F487" si="127">E486</f>
        <v>1444.8</v>
      </c>
      <c r="F485" s="17">
        <f t="shared" si="127"/>
        <v>1227.2</v>
      </c>
    </row>
    <row r="486" spans="1:6">
      <c r="A486" s="224" t="s">
        <v>50</v>
      </c>
      <c r="B486" s="219">
        <v>2520520300</v>
      </c>
      <c r="C486" s="224"/>
      <c r="D486" s="225" t="s">
        <v>342</v>
      </c>
      <c r="E486" s="17">
        <f t="shared" si="127"/>
        <v>1444.8</v>
      </c>
      <c r="F486" s="17">
        <f t="shared" si="127"/>
        <v>1227.2</v>
      </c>
    </row>
    <row r="487" spans="1:6" ht="31.5">
      <c r="A487" s="224" t="s">
        <v>50</v>
      </c>
      <c r="B487" s="219">
        <v>2520520300</v>
      </c>
      <c r="C487" s="219" t="s">
        <v>92</v>
      </c>
      <c r="D487" s="56" t="s">
        <v>93</v>
      </c>
      <c r="E487" s="17">
        <f t="shared" si="127"/>
        <v>1444.8</v>
      </c>
      <c r="F487" s="17">
        <f t="shared" si="127"/>
        <v>1227.2</v>
      </c>
    </row>
    <row r="488" spans="1:6">
      <c r="A488" s="224" t="s">
        <v>50</v>
      </c>
      <c r="B488" s="219">
        <v>2520520300</v>
      </c>
      <c r="C488" s="224">
        <v>610</v>
      </c>
      <c r="D488" s="56" t="s">
        <v>99</v>
      </c>
      <c r="E488" s="17">
        <f>'№ 6 ведом'!F780</f>
        <v>1444.8</v>
      </c>
      <c r="F488" s="17">
        <f>'№ 6 ведом'!G780</f>
        <v>1227.2</v>
      </c>
    </row>
    <row r="489" spans="1:6" ht="31.5">
      <c r="A489" s="224" t="s">
        <v>50</v>
      </c>
      <c r="B489" s="219">
        <v>2520600000</v>
      </c>
      <c r="C489" s="224"/>
      <c r="D489" s="225" t="s">
        <v>340</v>
      </c>
      <c r="E489" s="17">
        <f t="shared" ref="E489:F491" si="128">E490</f>
        <v>1497.9</v>
      </c>
      <c r="F489" s="17">
        <f t="shared" si="128"/>
        <v>1387.3</v>
      </c>
    </row>
    <row r="490" spans="1:6">
      <c r="A490" s="224" t="s">
        <v>50</v>
      </c>
      <c r="B490" s="219">
        <v>2520620200</v>
      </c>
      <c r="C490" s="224"/>
      <c r="D490" s="225" t="s">
        <v>275</v>
      </c>
      <c r="E490" s="17">
        <f t="shared" si="128"/>
        <v>1497.9</v>
      </c>
      <c r="F490" s="17">
        <f t="shared" si="128"/>
        <v>1387.3</v>
      </c>
    </row>
    <row r="491" spans="1:6" ht="31.5">
      <c r="A491" s="224" t="s">
        <v>50</v>
      </c>
      <c r="B491" s="219">
        <v>2520620200</v>
      </c>
      <c r="C491" s="219" t="s">
        <v>92</v>
      </c>
      <c r="D491" s="56" t="s">
        <v>93</v>
      </c>
      <c r="E491" s="17">
        <f t="shared" si="128"/>
        <v>1497.9</v>
      </c>
      <c r="F491" s="17">
        <f t="shared" si="128"/>
        <v>1387.3</v>
      </c>
    </row>
    <row r="492" spans="1:6">
      <c r="A492" s="224" t="s">
        <v>50</v>
      </c>
      <c r="B492" s="219">
        <v>2520620200</v>
      </c>
      <c r="C492" s="224">
        <v>610</v>
      </c>
      <c r="D492" s="56" t="s">
        <v>99</v>
      </c>
      <c r="E492" s="17">
        <f>'№ 6 ведом'!F784</f>
        <v>1497.9</v>
      </c>
      <c r="F492" s="17">
        <f>'№ 6 ведом'!G784</f>
        <v>1387.3</v>
      </c>
    </row>
    <row r="493" spans="1:6">
      <c r="A493" s="224" t="s">
        <v>50</v>
      </c>
      <c r="B493" s="219">
        <v>9900000000</v>
      </c>
      <c r="C493" s="219"/>
      <c r="D493" s="56" t="s">
        <v>100</v>
      </c>
      <c r="E493" s="17">
        <f t="shared" ref="E493:F496" si="129">E494</f>
        <v>200</v>
      </c>
      <c r="F493" s="17">
        <f t="shared" si="129"/>
        <v>200</v>
      </c>
    </row>
    <row r="494" spans="1:6" ht="47.25">
      <c r="A494" s="224" t="s">
        <v>50</v>
      </c>
      <c r="B494" s="219">
        <v>9920000000</v>
      </c>
      <c r="C494" s="219"/>
      <c r="D494" s="56" t="s">
        <v>381</v>
      </c>
      <c r="E494" s="17">
        <f t="shared" si="129"/>
        <v>200</v>
      </c>
      <c r="F494" s="17">
        <f t="shared" si="129"/>
        <v>200</v>
      </c>
    </row>
    <row r="495" spans="1:6" ht="47.25">
      <c r="A495" s="224" t="s">
        <v>50</v>
      </c>
      <c r="B495" s="219">
        <v>9920010920</v>
      </c>
      <c r="C495" s="219"/>
      <c r="D495" s="56" t="s">
        <v>382</v>
      </c>
      <c r="E495" s="17">
        <f t="shared" si="129"/>
        <v>200</v>
      </c>
      <c r="F495" s="17">
        <f t="shared" si="129"/>
        <v>200</v>
      </c>
    </row>
    <row r="496" spans="1:6" ht="31.5">
      <c r="A496" s="224" t="s">
        <v>50</v>
      </c>
      <c r="B496" s="219">
        <v>9920010920</v>
      </c>
      <c r="C496" s="219" t="s">
        <v>92</v>
      </c>
      <c r="D496" s="56" t="s">
        <v>93</v>
      </c>
      <c r="E496" s="17">
        <f t="shared" si="129"/>
        <v>200</v>
      </c>
      <c r="F496" s="17">
        <f t="shared" si="129"/>
        <v>200</v>
      </c>
    </row>
    <row r="497" spans="1:6">
      <c r="A497" s="224" t="s">
        <v>50</v>
      </c>
      <c r="B497" s="219">
        <v>9920010920</v>
      </c>
      <c r="C497" s="219">
        <v>610</v>
      </c>
      <c r="D497" s="56" t="s">
        <v>99</v>
      </c>
      <c r="E497" s="17">
        <f>'№ 6 ведом'!F789</f>
        <v>200</v>
      </c>
      <c r="F497" s="17">
        <f>'№ 6 ведом'!G789</f>
        <v>200</v>
      </c>
    </row>
    <row r="498" spans="1:6">
      <c r="A498" s="224" t="s">
        <v>86</v>
      </c>
      <c r="B498" s="224" t="s">
        <v>64</v>
      </c>
      <c r="C498" s="224" t="s">
        <v>64</v>
      </c>
      <c r="D498" s="49" t="s">
        <v>87</v>
      </c>
      <c r="E498" s="17">
        <f>E499+E524</f>
        <v>42724.000000000007</v>
      </c>
      <c r="F498" s="17">
        <f>F499+F524</f>
        <v>42690.8</v>
      </c>
    </row>
    <row r="499" spans="1:6" ht="47.25">
      <c r="A499" s="224" t="s">
        <v>86</v>
      </c>
      <c r="B499" s="219">
        <v>2100000000</v>
      </c>
      <c r="C499" s="224"/>
      <c r="D499" s="225" t="s">
        <v>313</v>
      </c>
      <c r="E499" s="17">
        <f>E500</f>
        <v>41861.200000000004</v>
      </c>
      <c r="F499" s="17">
        <f>F500</f>
        <v>41861.200000000004</v>
      </c>
    </row>
    <row r="500" spans="1:6">
      <c r="A500" s="224" t="s">
        <v>86</v>
      </c>
      <c r="B500" s="224">
        <v>2120000000</v>
      </c>
      <c r="C500" s="224"/>
      <c r="D500" s="225" t="s">
        <v>116</v>
      </c>
      <c r="E500" s="17">
        <f>E501+E520</f>
        <v>41861.200000000004</v>
      </c>
      <c r="F500" s="17">
        <f>F501+F520</f>
        <v>41861.200000000004</v>
      </c>
    </row>
    <row r="501" spans="1:6" ht="47.25">
      <c r="A501" s="224" t="s">
        <v>86</v>
      </c>
      <c r="B501" s="224">
        <v>2120100000</v>
      </c>
      <c r="C501" s="224"/>
      <c r="D501" s="225" t="s">
        <v>117</v>
      </c>
      <c r="E501" s="17">
        <f>E508+E502+E514+E511+E505+E517</f>
        <v>39171.000000000007</v>
      </c>
      <c r="F501" s="17">
        <f>F508+F502+F514+F511+F505+F517</f>
        <v>39171.000000000007</v>
      </c>
    </row>
    <row r="502" spans="1:6" ht="47.25">
      <c r="A502" s="224" t="s">
        <v>86</v>
      </c>
      <c r="B502" s="224">
        <v>2120110690</v>
      </c>
      <c r="C502" s="224"/>
      <c r="D502" s="56" t="s">
        <v>230</v>
      </c>
      <c r="E502" s="17">
        <f t="shared" ref="E502:F503" si="130">E503</f>
        <v>13785</v>
      </c>
      <c r="F502" s="17">
        <f t="shared" si="130"/>
        <v>13785</v>
      </c>
    </row>
    <row r="503" spans="1:6" ht="31.5">
      <c r="A503" s="224" t="s">
        <v>86</v>
      </c>
      <c r="B503" s="224">
        <v>2120110690</v>
      </c>
      <c r="C503" s="219" t="s">
        <v>92</v>
      </c>
      <c r="D503" s="56" t="s">
        <v>93</v>
      </c>
      <c r="E503" s="17">
        <f t="shared" si="130"/>
        <v>13785</v>
      </c>
      <c r="F503" s="17">
        <f t="shared" si="130"/>
        <v>13785</v>
      </c>
    </row>
    <row r="504" spans="1:6">
      <c r="A504" s="224" t="s">
        <v>86</v>
      </c>
      <c r="B504" s="224">
        <v>2120110690</v>
      </c>
      <c r="C504" s="224">
        <v>610</v>
      </c>
      <c r="D504" s="56" t="s">
        <v>99</v>
      </c>
      <c r="E504" s="17">
        <f>'№ 6 ведом'!F291+'№ 6 ведом'!F796</f>
        <v>13785</v>
      </c>
      <c r="F504" s="17">
        <f>'№ 6 ведом'!G291+'№ 6 ведом'!G796</f>
        <v>13785</v>
      </c>
    </row>
    <row r="505" spans="1:6" ht="47.25">
      <c r="A505" s="224" t="s">
        <v>86</v>
      </c>
      <c r="B505" s="10" t="s">
        <v>404</v>
      </c>
      <c r="C505" s="10"/>
      <c r="D505" s="42" t="s">
        <v>401</v>
      </c>
      <c r="E505" s="17">
        <f>E506</f>
        <v>126.1</v>
      </c>
      <c r="F505" s="17">
        <f>F506</f>
        <v>126.1</v>
      </c>
    </row>
    <row r="506" spans="1:6" ht="31.5">
      <c r="A506" s="224" t="s">
        <v>86</v>
      </c>
      <c r="B506" s="10" t="s">
        <v>404</v>
      </c>
      <c r="C506" s="219" t="s">
        <v>92</v>
      </c>
      <c r="D506" s="225" t="s">
        <v>93</v>
      </c>
      <c r="E506" s="17">
        <f>E507</f>
        <v>126.1</v>
      </c>
      <c r="F506" s="17">
        <f>F507</f>
        <v>126.1</v>
      </c>
    </row>
    <row r="507" spans="1:6">
      <c r="A507" s="224" t="s">
        <v>86</v>
      </c>
      <c r="B507" s="10" t="s">
        <v>404</v>
      </c>
      <c r="C507" s="224">
        <v>610</v>
      </c>
      <c r="D507" s="225" t="s">
        <v>99</v>
      </c>
      <c r="E507" s="17">
        <f>'№ 6 ведом'!F799+'№ 6 ведом'!F294</f>
        <v>126.1</v>
      </c>
      <c r="F507" s="17">
        <f>'№ 6 ведом'!G799+'№ 6 ведом'!G294</f>
        <v>126.1</v>
      </c>
    </row>
    <row r="508" spans="1:6" ht="31.5">
      <c r="A508" s="224" t="s">
        <v>86</v>
      </c>
      <c r="B508" s="224">
        <v>2120120010</v>
      </c>
      <c r="C508" s="224"/>
      <c r="D508" s="225" t="s">
        <v>118</v>
      </c>
      <c r="E508" s="17">
        <f t="shared" ref="E508:F509" si="131">E509</f>
        <v>23340.5</v>
      </c>
      <c r="F508" s="17">
        <f t="shared" si="131"/>
        <v>23340.5</v>
      </c>
    </row>
    <row r="509" spans="1:6" ht="31.5">
      <c r="A509" s="224" t="s">
        <v>86</v>
      </c>
      <c r="B509" s="224">
        <v>2120120010</v>
      </c>
      <c r="C509" s="219" t="s">
        <v>92</v>
      </c>
      <c r="D509" s="225" t="s">
        <v>93</v>
      </c>
      <c r="E509" s="17">
        <f t="shared" si="131"/>
        <v>23340.5</v>
      </c>
      <c r="F509" s="17">
        <f t="shared" si="131"/>
        <v>23340.5</v>
      </c>
    </row>
    <row r="510" spans="1:6">
      <c r="A510" s="224" t="s">
        <v>86</v>
      </c>
      <c r="B510" s="224">
        <v>2120120010</v>
      </c>
      <c r="C510" s="224">
        <v>610</v>
      </c>
      <c r="D510" s="225" t="s">
        <v>99</v>
      </c>
      <c r="E510" s="17">
        <f>'№ 6 ведом'!F802+'№ 6 ведом'!F297</f>
        <v>23340.5</v>
      </c>
      <c r="F510" s="17">
        <f>'№ 6 ведом'!G802+'№ 6 ведом'!G297</f>
        <v>23340.5</v>
      </c>
    </row>
    <row r="511" spans="1:6" ht="31.5">
      <c r="A511" s="224" t="s">
        <v>86</v>
      </c>
      <c r="B511" s="224">
        <v>2120120020</v>
      </c>
      <c r="C511" s="224"/>
      <c r="D511" s="225" t="s">
        <v>359</v>
      </c>
      <c r="E511" s="17">
        <f>E512</f>
        <v>1778.8000000000002</v>
      </c>
      <c r="F511" s="17">
        <f>F512</f>
        <v>1778.8</v>
      </c>
    </row>
    <row r="512" spans="1:6" ht="31.5">
      <c r="A512" s="224" t="s">
        <v>86</v>
      </c>
      <c r="B512" s="224">
        <v>2120120020</v>
      </c>
      <c r="C512" s="219" t="s">
        <v>92</v>
      </c>
      <c r="D512" s="225" t="s">
        <v>93</v>
      </c>
      <c r="E512" s="17">
        <f>E513</f>
        <v>1778.8000000000002</v>
      </c>
      <c r="F512" s="17">
        <f>F513</f>
        <v>1778.8</v>
      </c>
    </row>
    <row r="513" spans="1:6">
      <c r="A513" s="224" t="s">
        <v>86</v>
      </c>
      <c r="B513" s="224">
        <v>2120120020</v>
      </c>
      <c r="C513" s="224">
        <v>610</v>
      </c>
      <c r="D513" s="225" t="s">
        <v>99</v>
      </c>
      <c r="E513" s="17">
        <f>'№ 6 ведом'!F805</f>
        <v>1778.8000000000002</v>
      </c>
      <c r="F513" s="17">
        <f>'№ 6 ведом'!G805</f>
        <v>1778.8</v>
      </c>
    </row>
    <row r="514" spans="1:6" ht="47.25">
      <c r="A514" s="224" t="s">
        <v>86</v>
      </c>
      <c r="B514" s="224" t="s">
        <v>298</v>
      </c>
      <c r="C514" s="224"/>
      <c r="D514" s="56" t="s">
        <v>239</v>
      </c>
      <c r="E514" s="17">
        <f t="shared" ref="E514:F515" si="132">E515</f>
        <v>139.30000000000001</v>
      </c>
      <c r="F514" s="17">
        <f t="shared" si="132"/>
        <v>139.30000000000001</v>
      </c>
    </row>
    <row r="515" spans="1:6" ht="31.5">
      <c r="A515" s="224" t="s">
        <v>86</v>
      </c>
      <c r="B515" s="224" t="s">
        <v>298</v>
      </c>
      <c r="C515" s="219" t="s">
        <v>92</v>
      </c>
      <c r="D515" s="56" t="s">
        <v>93</v>
      </c>
      <c r="E515" s="17">
        <f t="shared" si="132"/>
        <v>139.30000000000001</v>
      </c>
      <c r="F515" s="17">
        <f t="shared" si="132"/>
        <v>139.30000000000001</v>
      </c>
    </row>
    <row r="516" spans="1:6">
      <c r="A516" s="224" t="s">
        <v>86</v>
      </c>
      <c r="B516" s="224" t="s">
        <v>298</v>
      </c>
      <c r="C516" s="224">
        <v>610</v>
      </c>
      <c r="D516" s="56" t="s">
        <v>99</v>
      </c>
      <c r="E516" s="17">
        <f>'№ 6 ведом'!F808+'№ 6 ведом'!F300</f>
        <v>139.30000000000001</v>
      </c>
      <c r="F516" s="17">
        <f>'№ 6 ведом'!G808+'№ 6 ведом'!G300</f>
        <v>139.30000000000001</v>
      </c>
    </row>
    <row r="517" spans="1:6" ht="47.25">
      <c r="A517" s="224" t="s">
        <v>86</v>
      </c>
      <c r="B517" s="10" t="s">
        <v>405</v>
      </c>
      <c r="C517" s="11"/>
      <c r="D517" s="225" t="s">
        <v>403</v>
      </c>
      <c r="E517" s="67">
        <f>E518</f>
        <v>1.3</v>
      </c>
      <c r="F517" s="67">
        <f>F518</f>
        <v>1.3</v>
      </c>
    </row>
    <row r="518" spans="1:6" ht="31.5">
      <c r="A518" s="224" t="s">
        <v>86</v>
      </c>
      <c r="B518" s="10" t="s">
        <v>405</v>
      </c>
      <c r="C518" s="219" t="s">
        <v>92</v>
      </c>
      <c r="D518" s="225" t="s">
        <v>93</v>
      </c>
      <c r="E518" s="67">
        <f>E519</f>
        <v>1.3</v>
      </c>
      <c r="F518" s="67">
        <f>F519</f>
        <v>1.3</v>
      </c>
    </row>
    <row r="519" spans="1:6">
      <c r="A519" s="224" t="s">
        <v>86</v>
      </c>
      <c r="B519" s="10" t="s">
        <v>405</v>
      </c>
      <c r="C519" s="224">
        <v>610</v>
      </c>
      <c r="D519" s="225" t="s">
        <v>99</v>
      </c>
      <c r="E519" s="67">
        <f>'№ 6 ведом'!F303+'№ 6 ведом'!F811</f>
        <v>1.3</v>
      </c>
      <c r="F519" s="67">
        <f>'№ 6 ведом'!G303+'№ 6 ведом'!G811</f>
        <v>1.3</v>
      </c>
    </row>
    <row r="520" spans="1:6" ht="31.5">
      <c r="A520" s="224" t="s">
        <v>86</v>
      </c>
      <c r="B520" s="224" t="s">
        <v>320</v>
      </c>
      <c r="C520" s="224"/>
      <c r="D520" s="56" t="s">
        <v>321</v>
      </c>
      <c r="E520" s="67">
        <f t="shared" ref="E520:F522" si="133">E521</f>
        <v>2690.2000000000003</v>
      </c>
      <c r="F520" s="67">
        <f t="shared" si="133"/>
        <v>2690.2</v>
      </c>
    </row>
    <row r="521" spans="1:6" ht="47.25">
      <c r="A521" s="224" t="s">
        <v>86</v>
      </c>
      <c r="B521" s="224" t="s">
        <v>346</v>
      </c>
      <c r="C521" s="224"/>
      <c r="D521" s="56" t="s">
        <v>347</v>
      </c>
      <c r="E521" s="21">
        <f t="shared" si="133"/>
        <v>2690.2000000000003</v>
      </c>
      <c r="F521" s="21">
        <f t="shared" si="133"/>
        <v>2690.2</v>
      </c>
    </row>
    <row r="522" spans="1:6" ht="31.5">
      <c r="A522" s="224" t="s">
        <v>86</v>
      </c>
      <c r="B522" s="224" t="s">
        <v>346</v>
      </c>
      <c r="C522" s="219" t="s">
        <v>92</v>
      </c>
      <c r="D522" s="56" t="s">
        <v>93</v>
      </c>
      <c r="E522" s="21">
        <f t="shared" si="133"/>
        <v>2690.2000000000003</v>
      </c>
      <c r="F522" s="21">
        <f t="shared" si="133"/>
        <v>2690.2</v>
      </c>
    </row>
    <row r="523" spans="1:6">
      <c r="A523" s="224" t="s">
        <v>86</v>
      </c>
      <c r="B523" s="224" t="s">
        <v>346</v>
      </c>
      <c r="C523" s="224">
        <v>610</v>
      </c>
      <c r="D523" s="56" t="s">
        <v>99</v>
      </c>
      <c r="E523" s="21">
        <f>'№ 6 ведом'!F307</f>
        <v>2690.2000000000003</v>
      </c>
      <c r="F523" s="21">
        <f>'№ 6 ведом'!G307</f>
        <v>2690.2</v>
      </c>
    </row>
    <row r="524" spans="1:6" ht="31.5">
      <c r="A524" s="224" t="s">
        <v>86</v>
      </c>
      <c r="B524" s="219">
        <v>2500000000</v>
      </c>
      <c r="C524" s="224"/>
      <c r="D524" s="225" t="s">
        <v>312</v>
      </c>
      <c r="E524" s="67">
        <f>E525</f>
        <v>862.8</v>
      </c>
      <c r="F524" s="67">
        <f>F525</f>
        <v>829.60000000000014</v>
      </c>
    </row>
    <row r="525" spans="1:6" ht="31.5">
      <c r="A525" s="224" t="s">
        <v>86</v>
      </c>
      <c r="B525" s="219">
        <v>2520000000</v>
      </c>
      <c r="C525" s="224"/>
      <c r="D525" s="225" t="s">
        <v>241</v>
      </c>
      <c r="E525" s="67">
        <f>E526+E530+E534</f>
        <v>862.8</v>
      </c>
      <c r="F525" s="67">
        <f>F526+F530+F534</f>
        <v>829.60000000000014</v>
      </c>
    </row>
    <row r="526" spans="1:6" ht="31.5">
      <c r="A526" s="224" t="s">
        <v>86</v>
      </c>
      <c r="B526" s="219">
        <v>2520400000</v>
      </c>
      <c r="C526" s="224"/>
      <c r="D526" s="56" t="s">
        <v>330</v>
      </c>
      <c r="E526" s="67">
        <f t="shared" ref="E526:F528" si="134">E527</f>
        <v>95.1</v>
      </c>
      <c r="F526" s="67">
        <f t="shared" si="134"/>
        <v>86.5</v>
      </c>
    </row>
    <row r="527" spans="1:6">
      <c r="A527" s="224" t="s">
        <v>86</v>
      </c>
      <c r="B527" s="219">
        <v>2520420300</v>
      </c>
      <c r="C527" s="224"/>
      <c r="D527" s="56" t="s">
        <v>331</v>
      </c>
      <c r="E527" s="67">
        <f t="shared" si="134"/>
        <v>95.1</v>
      </c>
      <c r="F527" s="67">
        <f t="shared" si="134"/>
        <v>86.5</v>
      </c>
    </row>
    <row r="528" spans="1:6" ht="31.5">
      <c r="A528" s="224" t="s">
        <v>86</v>
      </c>
      <c r="B528" s="219">
        <v>2520420300</v>
      </c>
      <c r="C528" s="219" t="s">
        <v>92</v>
      </c>
      <c r="D528" s="56" t="s">
        <v>93</v>
      </c>
      <c r="E528" s="67">
        <f t="shared" si="134"/>
        <v>95.1</v>
      </c>
      <c r="F528" s="67">
        <f t="shared" si="134"/>
        <v>86.5</v>
      </c>
    </row>
    <row r="529" spans="1:6">
      <c r="A529" s="224" t="s">
        <v>86</v>
      </c>
      <c r="B529" s="219">
        <v>2520420300</v>
      </c>
      <c r="C529" s="224">
        <v>610</v>
      </c>
      <c r="D529" s="56" t="s">
        <v>99</v>
      </c>
      <c r="E529" s="67">
        <f>'№ 6 ведом'!F313+'№ 6 ведом'!F817</f>
        <v>95.1</v>
      </c>
      <c r="F529" s="67">
        <f>'№ 6 ведом'!G313+'№ 6 ведом'!G817</f>
        <v>86.5</v>
      </c>
    </row>
    <row r="530" spans="1:6" ht="31.5">
      <c r="A530" s="224" t="s">
        <v>86</v>
      </c>
      <c r="B530" s="219">
        <v>2520500000</v>
      </c>
      <c r="C530" s="224"/>
      <c r="D530" s="225" t="s">
        <v>341</v>
      </c>
      <c r="E530" s="67">
        <f t="shared" ref="E530:F532" si="135">E531</f>
        <v>147.39999999999998</v>
      </c>
      <c r="F530" s="67">
        <f t="shared" si="135"/>
        <v>125.8</v>
      </c>
    </row>
    <row r="531" spans="1:6">
      <c r="A531" s="224" t="s">
        <v>86</v>
      </c>
      <c r="B531" s="219">
        <v>2520520300</v>
      </c>
      <c r="C531" s="224"/>
      <c r="D531" s="225" t="s">
        <v>342</v>
      </c>
      <c r="E531" s="67">
        <f t="shared" si="135"/>
        <v>147.39999999999998</v>
      </c>
      <c r="F531" s="67">
        <f t="shared" si="135"/>
        <v>125.8</v>
      </c>
    </row>
    <row r="532" spans="1:6" ht="31.5">
      <c r="A532" s="224" t="s">
        <v>86</v>
      </c>
      <c r="B532" s="219">
        <v>2520520300</v>
      </c>
      <c r="C532" s="219" t="s">
        <v>92</v>
      </c>
      <c r="D532" s="56" t="s">
        <v>93</v>
      </c>
      <c r="E532" s="67">
        <f t="shared" si="135"/>
        <v>147.39999999999998</v>
      </c>
      <c r="F532" s="67">
        <f t="shared" si="135"/>
        <v>125.8</v>
      </c>
    </row>
    <row r="533" spans="1:6">
      <c r="A533" s="224" t="s">
        <v>86</v>
      </c>
      <c r="B533" s="219">
        <v>2520520300</v>
      </c>
      <c r="C533" s="224">
        <v>610</v>
      </c>
      <c r="D533" s="56" t="s">
        <v>99</v>
      </c>
      <c r="E533" s="67">
        <f>'№ 6 ведом'!F317+'№ 6 ведом'!F821</f>
        <v>147.39999999999998</v>
      </c>
      <c r="F533" s="67">
        <f>'№ 6 ведом'!G317+'№ 6 ведом'!G821</f>
        <v>125.8</v>
      </c>
    </row>
    <row r="534" spans="1:6" ht="31.5">
      <c r="A534" s="224" t="s">
        <v>86</v>
      </c>
      <c r="B534" s="219">
        <v>2520600000</v>
      </c>
      <c r="C534" s="224"/>
      <c r="D534" s="225" t="s">
        <v>340</v>
      </c>
      <c r="E534" s="67">
        <f t="shared" ref="E534:F536" si="136">E535</f>
        <v>620.29999999999995</v>
      </c>
      <c r="F534" s="67">
        <f t="shared" si="136"/>
        <v>617.30000000000007</v>
      </c>
    </row>
    <row r="535" spans="1:6">
      <c r="A535" s="224" t="s">
        <v>86</v>
      </c>
      <c r="B535" s="219">
        <v>2520620200</v>
      </c>
      <c r="C535" s="224"/>
      <c r="D535" s="225" t="s">
        <v>275</v>
      </c>
      <c r="E535" s="67">
        <f t="shared" si="136"/>
        <v>620.29999999999995</v>
      </c>
      <c r="F535" s="67">
        <f t="shared" si="136"/>
        <v>617.30000000000007</v>
      </c>
    </row>
    <row r="536" spans="1:6" ht="31.5">
      <c r="A536" s="224" t="s">
        <v>86</v>
      </c>
      <c r="B536" s="219">
        <v>2520620200</v>
      </c>
      <c r="C536" s="219" t="s">
        <v>92</v>
      </c>
      <c r="D536" s="56" t="s">
        <v>93</v>
      </c>
      <c r="E536" s="67">
        <f t="shared" si="136"/>
        <v>620.29999999999995</v>
      </c>
      <c r="F536" s="67">
        <f t="shared" si="136"/>
        <v>617.30000000000007</v>
      </c>
    </row>
    <row r="537" spans="1:6">
      <c r="A537" s="224" t="s">
        <v>86</v>
      </c>
      <c r="B537" s="219">
        <v>2520620200</v>
      </c>
      <c r="C537" s="224">
        <v>610</v>
      </c>
      <c r="D537" s="56" t="s">
        <v>99</v>
      </c>
      <c r="E537" s="67">
        <f>'№ 6 ведом'!F321+'№ 6 ведом'!F825</f>
        <v>620.29999999999995</v>
      </c>
      <c r="F537" s="67">
        <f>'№ 6 ведом'!G321+'№ 6 ведом'!G825</f>
        <v>617.30000000000007</v>
      </c>
    </row>
    <row r="538" spans="1:6" ht="31.5">
      <c r="A538" s="22" t="s">
        <v>190</v>
      </c>
      <c r="B538" s="63"/>
      <c r="C538" s="63"/>
      <c r="D538" s="65" t="s">
        <v>218</v>
      </c>
      <c r="E538" s="67">
        <f t="shared" ref="E538:F543" si="137">E539</f>
        <v>150</v>
      </c>
      <c r="F538" s="67">
        <f t="shared" si="137"/>
        <v>33.1</v>
      </c>
    </row>
    <row r="539" spans="1:6" ht="47.25">
      <c r="A539" s="22" t="s">
        <v>190</v>
      </c>
      <c r="B539" s="219">
        <v>2600000000</v>
      </c>
      <c r="C539" s="219"/>
      <c r="D539" s="225" t="s">
        <v>316</v>
      </c>
      <c r="E539" s="17">
        <f t="shared" si="137"/>
        <v>150</v>
      </c>
      <c r="F539" s="17">
        <f t="shared" si="137"/>
        <v>33.1</v>
      </c>
    </row>
    <row r="540" spans="1:6" ht="47.25">
      <c r="A540" s="22" t="s">
        <v>190</v>
      </c>
      <c r="B540" s="219">
        <v>2630000000</v>
      </c>
      <c r="C540" s="1"/>
      <c r="D540" s="47" t="s">
        <v>191</v>
      </c>
      <c r="E540" s="17">
        <f t="shared" si="137"/>
        <v>150</v>
      </c>
      <c r="F540" s="17">
        <f t="shared" si="137"/>
        <v>33.1</v>
      </c>
    </row>
    <row r="541" spans="1:6" ht="31.5">
      <c r="A541" s="22" t="s">
        <v>190</v>
      </c>
      <c r="B541" s="219">
        <v>2630100000</v>
      </c>
      <c r="C541" s="224"/>
      <c r="D541" s="225" t="s">
        <v>193</v>
      </c>
      <c r="E541" s="17">
        <f t="shared" si="137"/>
        <v>150</v>
      </c>
      <c r="F541" s="17">
        <f t="shared" si="137"/>
        <v>33.1</v>
      </c>
    </row>
    <row r="542" spans="1:6">
      <c r="A542" s="22" t="s">
        <v>190</v>
      </c>
      <c r="B542" s="219">
        <v>2630120510</v>
      </c>
      <c r="C542" s="224"/>
      <c r="D542" s="225" t="s">
        <v>195</v>
      </c>
      <c r="E542" s="17">
        <f t="shared" si="137"/>
        <v>150</v>
      </c>
      <c r="F542" s="17">
        <f t="shared" si="137"/>
        <v>33.1</v>
      </c>
    </row>
    <row r="543" spans="1:6" ht="31.5">
      <c r="A543" s="22" t="s">
        <v>190</v>
      </c>
      <c r="B543" s="219">
        <v>2630120510</v>
      </c>
      <c r="C543" s="219" t="s">
        <v>67</v>
      </c>
      <c r="D543" s="225" t="s">
        <v>90</v>
      </c>
      <c r="E543" s="17">
        <f t="shared" si="137"/>
        <v>150</v>
      </c>
      <c r="F543" s="17">
        <f t="shared" si="137"/>
        <v>33.1</v>
      </c>
    </row>
    <row r="544" spans="1:6" ht="31.5">
      <c r="A544" s="22" t="s">
        <v>190</v>
      </c>
      <c r="B544" s="219">
        <v>2630120510</v>
      </c>
      <c r="C544" s="224">
        <v>240</v>
      </c>
      <c r="D544" s="225" t="s">
        <v>216</v>
      </c>
      <c r="E544" s="17">
        <f>'№ 6 ведом'!F328</f>
        <v>150</v>
      </c>
      <c r="F544" s="17">
        <f>'№ 6 ведом'!G328</f>
        <v>33.1</v>
      </c>
    </row>
    <row r="545" spans="1:6">
      <c r="A545" s="224" t="s">
        <v>38</v>
      </c>
      <c r="B545" s="224" t="s">
        <v>64</v>
      </c>
      <c r="C545" s="224" t="s">
        <v>64</v>
      </c>
      <c r="D545" s="49" t="s">
        <v>94</v>
      </c>
      <c r="E545" s="21">
        <f>E555+E546</f>
        <v>135.6</v>
      </c>
      <c r="F545" s="21">
        <f>F555+F546</f>
        <v>135.39999999999998</v>
      </c>
    </row>
    <row r="546" spans="1:6" ht="31.5">
      <c r="A546" s="224" t="s">
        <v>38</v>
      </c>
      <c r="B546" s="219">
        <v>2130000000</v>
      </c>
      <c r="C546" s="224"/>
      <c r="D546" s="49" t="s">
        <v>109</v>
      </c>
      <c r="E546" s="17">
        <f>E547+E551</f>
        <v>85.5</v>
      </c>
      <c r="F546" s="17">
        <f>F547+F551</f>
        <v>85.399999999999991</v>
      </c>
    </row>
    <row r="547" spans="1:6" ht="31.5">
      <c r="A547" s="224" t="s">
        <v>38</v>
      </c>
      <c r="B547" s="224">
        <v>2130200000</v>
      </c>
      <c r="C547" s="224"/>
      <c r="D547" s="49" t="s">
        <v>165</v>
      </c>
      <c r="E547" s="17">
        <f t="shared" ref="E547:F549" si="138">E548</f>
        <v>15.7</v>
      </c>
      <c r="F547" s="17">
        <f t="shared" si="138"/>
        <v>15.6</v>
      </c>
    </row>
    <row r="548" spans="1:6" ht="31.5">
      <c r="A548" s="224" t="s">
        <v>38</v>
      </c>
      <c r="B548" s="224">
        <v>2130220270</v>
      </c>
      <c r="C548" s="224"/>
      <c r="D548" s="49" t="s">
        <v>166</v>
      </c>
      <c r="E548" s="17">
        <f t="shared" si="138"/>
        <v>15.7</v>
      </c>
      <c r="F548" s="17">
        <f t="shared" si="138"/>
        <v>15.6</v>
      </c>
    </row>
    <row r="549" spans="1:6">
      <c r="A549" s="224" t="s">
        <v>38</v>
      </c>
      <c r="B549" s="224">
        <v>2130220270</v>
      </c>
      <c r="C549" s="219" t="s">
        <v>71</v>
      </c>
      <c r="D549" s="225" t="s">
        <v>72</v>
      </c>
      <c r="E549" s="17">
        <f t="shared" si="138"/>
        <v>15.7</v>
      </c>
      <c r="F549" s="17">
        <f t="shared" si="138"/>
        <v>15.6</v>
      </c>
    </row>
    <row r="550" spans="1:6">
      <c r="A550" s="224" t="s">
        <v>38</v>
      </c>
      <c r="B550" s="224">
        <v>2130220270</v>
      </c>
      <c r="C550" s="224">
        <v>350</v>
      </c>
      <c r="D550" s="49" t="s">
        <v>144</v>
      </c>
      <c r="E550" s="17">
        <f>'№ 6 ведом'!F335</f>
        <v>15.7</v>
      </c>
      <c r="F550" s="17">
        <f>'№ 6 ведом'!G335</f>
        <v>15.6</v>
      </c>
    </row>
    <row r="551" spans="1:6" ht="31.5">
      <c r="A551" s="224" t="s">
        <v>38</v>
      </c>
      <c r="B551" s="224">
        <v>2130400000</v>
      </c>
      <c r="C551" s="224"/>
      <c r="D551" s="49" t="s">
        <v>131</v>
      </c>
      <c r="E551" s="17">
        <f t="shared" ref="E551:F553" si="139">E552</f>
        <v>69.8</v>
      </c>
      <c r="F551" s="17">
        <f t="shared" si="139"/>
        <v>69.8</v>
      </c>
    </row>
    <row r="552" spans="1:6" ht="31.5">
      <c r="A552" s="224" t="s">
        <v>38</v>
      </c>
      <c r="B552" s="224">
        <v>2130420290</v>
      </c>
      <c r="C552" s="224"/>
      <c r="D552" s="49" t="s">
        <v>132</v>
      </c>
      <c r="E552" s="17">
        <f t="shared" si="139"/>
        <v>69.8</v>
      </c>
      <c r="F552" s="17">
        <f t="shared" si="139"/>
        <v>69.8</v>
      </c>
    </row>
    <row r="553" spans="1:6" ht="31.5">
      <c r="A553" s="224" t="s">
        <v>38</v>
      </c>
      <c r="B553" s="224">
        <v>2130420290</v>
      </c>
      <c r="C553" s="219" t="s">
        <v>67</v>
      </c>
      <c r="D553" s="225" t="s">
        <v>90</v>
      </c>
      <c r="E553" s="17">
        <f t="shared" si="139"/>
        <v>69.8</v>
      </c>
      <c r="F553" s="17">
        <f t="shared" si="139"/>
        <v>69.8</v>
      </c>
    </row>
    <row r="554" spans="1:6" ht="31.5">
      <c r="A554" s="224" t="s">
        <v>38</v>
      </c>
      <c r="B554" s="224">
        <v>2130420290</v>
      </c>
      <c r="C554" s="224">
        <v>240</v>
      </c>
      <c r="D554" s="225" t="s">
        <v>216</v>
      </c>
      <c r="E554" s="17">
        <f>'№ 6 ведом'!F339</f>
        <v>69.8</v>
      </c>
      <c r="F554" s="17">
        <f>'№ 6 ведом'!G339</f>
        <v>69.8</v>
      </c>
    </row>
    <row r="555" spans="1:6" ht="47.25">
      <c r="A555" s="224" t="s">
        <v>38</v>
      </c>
      <c r="B555" s="219">
        <v>2200000000</v>
      </c>
      <c r="C555" s="224"/>
      <c r="D555" s="49" t="s">
        <v>311</v>
      </c>
      <c r="E555" s="17">
        <f t="shared" ref="E555:F556" si="140">E556</f>
        <v>50.1</v>
      </c>
      <c r="F555" s="17">
        <f t="shared" si="140"/>
        <v>50</v>
      </c>
    </row>
    <row r="556" spans="1:6" ht="31.5">
      <c r="A556" s="224" t="s">
        <v>38</v>
      </c>
      <c r="B556" s="219">
        <v>2240000000</v>
      </c>
      <c r="C556" s="10"/>
      <c r="D556" s="49" t="s">
        <v>127</v>
      </c>
      <c r="E556" s="17">
        <f t="shared" si="140"/>
        <v>50.1</v>
      </c>
      <c r="F556" s="17">
        <f t="shared" si="140"/>
        <v>50</v>
      </c>
    </row>
    <row r="557" spans="1:6" ht="31.5">
      <c r="A557" s="224" t="s">
        <v>38</v>
      </c>
      <c r="B557" s="10" t="s">
        <v>299</v>
      </c>
      <c r="C557" s="10"/>
      <c r="D557" s="49" t="s">
        <v>131</v>
      </c>
      <c r="E557" s="17">
        <f>E558+E561</f>
        <v>50.1</v>
      </c>
      <c r="F557" s="17">
        <f>F558+F561</f>
        <v>50</v>
      </c>
    </row>
    <row r="558" spans="1:6" ht="31.5">
      <c r="A558" s="224" t="s">
        <v>38</v>
      </c>
      <c r="B558" s="10" t="s">
        <v>300</v>
      </c>
      <c r="C558" s="10"/>
      <c r="D558" s="49" t="s">
        <v>129</v>
      </c>
      <c r="E558" s="17">
        <f t="shared" ref="E558:F559" si="141">E559</f>
        <v>14.1</v>
      </c>
      <c r="F558" s="17">
        <f t="shared" si="141"/>
        <v>14</v>
      </c>
    </row>
    <row r="559" spans="1:6" ht="31.5">
      <c r="A559" s="224" t="s">
        <v>38</v>
      </c>
      <c r="B559" s="10" t="s">
        <v>300</v>
      </c>
      <c r="C559" s="219" t="s">
        <v>67</v>
      </c>
      <c r="D559" s="225" t="s">
        <v>90</v>
      </c>
      <c r="E559" s="17">
        <f t="shared" si="141"/>
        <v>14.1</v>
      </c>
      <c r="F559" s="17">
        <f t="shared" si="141"/>
        <v>14</v>
      </c>
    </row>
    <row r="560" spans="1:6" ht="31.5">
      <c r="A560" s="224" t="s">
        <v>38</v>
      </c>
      <c r="B560" s="10" t="s">
        <v>300</v>
      </c>
      <c r="C560" s="224">
        <v>240</v>
      </c>
      <c r="D560" s="225" t="s">
        <v>216</v>
      </c>
      <c r="E560" s="17">
        <f>'№ 6 ведом'!F345</f>
        <v>14.1</v>
      </c>
      <c r="F560" s="17">
        <f>'№ 6 ведом'!G345</f>
        <v>14</v>
      </c>
    </row>
    <row r="561" spans="1:6">
      <c r="A561" s="224" t="s">
        <v>38</v>
      </c>
      <c r="B561" s="10" t="s">
        <v>301</v>
      </c>
      <c r="C561" s="10"/>
      <c r="D561" s="49" t="s">
        <v>130</v>
      </c>
      <c r="E561" s="17">
        <f t="shared" ref="E561:F562" si="142">E562</f>
        <v>36</v>
      </c>
      <c r="F561" s="17">
        <f t="shared" si="142"/>
        <v>36</v>
      </c>
    </row>
    <row r="562" spans="1:6">
      <c r="A562" s="224" t="s">
        <v>38</v>
      </c>
      <c r="B562" s="10" t="s">
        <v>301</v>
      </c>
      <c r="C562" s="219" t="s">
        <v>71</v>
      </c>
      <c r="D562" s="225" t="s">
        <v>72</v>
      </c>
      <c r="E562" s="17">
        <f t="shared" si="142"/>
        <v>36</v>
      </c>
      <c r="F562" s="17">
        <f t="shared" si="142"/>
        <v>36</v>
      </c>
    </row>
    <row r="563" spans="1:6" ht="31.5">
      <c r="A563" s="224" t="s">
        <v>38</v>
      </c>
      <c r="B563" s="10" t="s">
        <v>301</v>
      </c>
      <c r="C563" s="10" t="s">
        <v>335</v>
      </c>
      <c r="D563" s="225" t="s">
        <v>336</v>
      </c>
      <c r="E563" s="17">
        <f>'№ 6 ведом'!F348</f>
        <v>36</v>
      </c>
      <c r="F563" s="17">
        <f>'№ 6 ведом'!G348</f>
        <v>36</v>
      </c>
    </row>
    <row r="564" spans="1:6">
      <c r="A564" s="224" t="s">
        <v>51</v>
      </c>
      <c r="B564" s="224" t="s">
        <v>64</v>
      </c>
      <c r="C564" s="224" t="s">
        <v>64</v>
      </c>
      <c r="D564" s="49" t="s">
        <v>12</v>
      </c>
      <c r="E564" s="17">
        <f>E565+E585</f>
        <v>11111.5</v>
      </c>
      <c r="F564" s="17">
        <f>F565+F585</f>
        <v>11067.3</v>
      </c>
    </row>
    <row r="565" spans="1:6" ht="47.25">
      <c r="A565" s="224" t="s">
        <v>51</v>
      </c>
      <c r="B565" s="219">
        <v>2100000000</v>
      </c>
      <c r="C565" s="224"/>
      <c r="D565" s="225" t="s">
        <v>313</v>
      </c>
      <c r="E565" s="17">
        <f>E576+E566</f>
        <v>3614.8</v>
      </c>
      <c r="F565" s="17">
        <f>F576+F566</f>
        <v>3585.6000000000004</v>
      </c>
    </row>
    <row r="566" spans="1:6">
      <c r="A566" s="224" t="s">
        <v>51</v>
      </c>
      <c r="B566" s="224">
        <v>2110000000</v>
      </c>
      <c r="C566" s="224"/>
      <c r="D566" s="225" t="s">
        <v>159</v>
      </c>
      <c r="E566" s="21">
        <f>E567</f>
        <v>3390.5</v>
      </c>
      <c r="F566" s="21">
        <f>F567</f>
        <v>3361.6000000000004</v>
      </c>
    </row>
    <row r="567" spans="1:6">
      <c r="A567" s="224" t="s">
        <v>51</v>
      </c>
      <c r="B567" s="224">
        <v>2110400000</v>
      </c>
      <c r="C567" s="224"/>
      <c r="D567" s="225" t="s">
        <v>163</v>
      </c>
      <c r="E567" s="21">
        <f>E568+E573</f>
        <v>3390.5</v>
      </c>
      <c r="F567" s="21">
        <f>F568+F573</f>
        <v>3361.6000000000004</v>
      </c>
    </row>
    <row r="568" spans="1:6" ht="31.5">
      <c r="A568" s="224" t="s">
        <v>51</v>
      </c>
      <c r="B568" s="224">
        <v>2110410240</v>
      </c>
      <c r="C568" s="224"/>
      <c r="D568" s="56" t="s">
        <v>236</v>
      </c>
      <c r="E568" s="21">
        <f>E569+E571</f>
        <v>3051.4</v>
      </c>
      <c r="F568" s="21">
        <f>F569+F571</f>
        <v>3024.2000000000003</v>
      </c>
    </row>
    <row r="569" spans="1:6">
      <c r="A569" s="224" t="s">
        <v>51</v>
      </c>
      <c r="B569" s="224">
        <v>2110410240</v>
      </c>
      <c r="C569" s="1" t="s">
        <v>71</v>
      </c>
      <c r="D569" s="47" t="s">
        <v>72</v>
      </c>
      <c r="E569" s="21">
        <f>E570</f>
        <v>154.19999999999999</v>
      </c>
      <c r="F569" s="21">
        <f>F570</f>
        <v>133.80000000000001</v>
      </c>
    </row>
    <row r="570" spans="1:6" ht="31.5">
      <c r="A570" s="224" t="s">
        <v>51</v>
      </c>
      <c r="B570" s="224">
        <v>2110410240</v>
      </c>
      <c r="C570" s="224">
        <v>320</v>
      </c>
      <c r="D570" s="225" t="s">
        <v>97</v>
      </c>
      <c r="E570" s="21">
        <f>'№ 6 ведом'!F832</f>
        <v>154.19999999999999</v>
      </c>
      <c r="F570" s="21">
        <f>'№ 6 ведом'!G832</f>
        <v>133.80000000000001</v>
      </c>
    </row>
    <row r="571" spans="1:6" ht="31.5">
      <c r="A571" s="224" t="s">
        <v>51</v>
      </c>
      <c r="B571" s="224">
        <v>2110410240</v>
      </c>
      <c r="C571" s="219" t="s">
        <v>92</v>
      </c>
      <c r="D571" s="225" t="s">
        <v>93</v>
      </c>
      <c r="E571" s="21">
        <f>E572</f>
        <v>2897.2000000000003</v>
      </c>
      <c r="F571" s="21">
        <f>F572</f>
        <v>2890.4</v>
      </c>
    </row>
    <row r="572" spans="1:6">
      <c r="A572" s="224" t="s">
        <v>51</v>
      </c>
      <c r="B572" s="224">
        <v>2110410240</v>
      </c>
      <c r="C572" s="224">
        <v>610</v>
      </c>
      <c r="D572" s="225" t="s">
        <v>99</v>
      </c>
      <c r="E572" s="21">
        <f>'№ 6 ведом'!F834</f>
        <v>2897.2000000000003</v>
      </c>
      <c r="F572" s="21">
        <f>'№ 6 ведом'!G834</f>
        <v>2890.4</v>
      </c>
    </row>
    <row r="573" spans="1:6" ht="31.5">
      <c r="A573" s="224" t="s">
        <v>51</v>
      </c>
      <c r="B573" s="224" t="s">
        <v>310</v>
      </c>
      <c r="C573" s="224"/>
      <c r="D573" s="225" t="s">
        <v>164</v>
      </c>
      <c r="E573" s="21">
        <f>E574</f>
        <v>339.1</v>
      </c>
      <c r="F573" s="21">
        <f>F574</f>
        <v>337.4</v>
      </c>
    </row>
    <row r="574" spans="1:6" ht="31.5">
      <c r="A574" s="224" t="s">
        <v>51</v>
      </c>
      <c r="B574" s="224" t="s">
        <v>310</v>
      </c>
      <c r="C574" s="219" t="s">
        <v>92</v>
      </c>
      <c r="D574" s="225" t="s">
        <v>93</v>
      </c>
      <c r="E574" s="21">
        <f>E575</f>
        <v>339.1</v>
      </c>
      <c r="F574" s="21">
        <f>F575</f>
        <v>337.4</v>
      </c>
    </row>
    <row r="575" spans="1:6">
      <c r="A575" s="224" t="s">
        <v>51</v>
      </c>
      <c r="B575" s="224" t="s">
        <v>310</v>
      </c>
      <c r="C575" s="224">
        <v>610</v>
      </c>
      <c r="D575" s="225" t="s">
        <v>99</v>
      </c>
      <c r="E575" s="21">
        <f>'№ 6 ведом'!F837</f>
        <v>339.1</v>
      </c>
      <c r="F575" s="21">
        <f>'№ 6 ведом'!G837</f>
        <v>337.4</v>
      </c>
    </row>
    <row r="576" spans="1:6" ht="31.5">
      <c r="A576" s="224" t="s">
        <v>51</v>
      </c>
      <c r="B576" s="219">
        <v>2130000000</v>
      </c>
      <c r="C576" s="24"/>
      <c r="D576" s="49" t="s">
        <v>109</v>
      </c>
      <c r="E576" s="17">
        <f>E581+E577</f>
        <v>224.3</v>
      </c>
      <c r="F576" s="17">
        <f>F581+F577</f>
        <v>224</v>
      </c>
    </row>
    <row r="577" spans="1:6" ht="31.5">
      <c r="A577" s="224" t="s">
        <v>51</v>
      </c>
      <c r="B577" s="224">
        <v>2130100000</v>
      </c>
      <c r="C577" s="24"/>
      <c r="D577" s="49" t="s">
        <v>202</v>
      </c>
      <c r="E577" s="17">
        <f t="shared" ref="E577:F579" si="143">E578</f>
        <v>125.8</v>
      </c>
      <c r="F577" s="17">
        <f t="shared" si="143"/>
        <v>125.8</v>
      </c>
    </row>
    <row r="578" spans="1:6" ht="31.5">
      <c r="A578" s="224" t="s">
        <v>51</v>
      </c>
      <c r="B578" s="219">
        <v>2130120260</v>
      </c>
      <c r="C578" s="24"/>
      <c r="D578" s="49" t="s">
        <v>203</v>
      </c>
      <c r="E578" s="17">
        <f t="shared" si="143"/>
        <v>125.8</v>
      </c>
      <c r="F578" s="17">
        <f t="shared" si="143"/>
        <v>125.8</v>
      </c>
    </row>
    <row r="579" spans="1:6" ht="31.5">
      <c r="A579" s="224" t="s">
        <v>51</v>
      </c>
      <c r="B579" s="219">
        <v>2130120260</v>
      </c>
      <c r="C579" s="224" t="s">
        <v>67</v>
      </c>
      <c r="D579" s="49" t="s">
        <v>90</v>
      </c>
      <c r="E579" s="17">
        <f t="shared" si="143"/>
        <v>125.8</v>
      </c>
      <c r="F579" s="17">
        <f t="shared" si="143"/>
        <v>125.8</v>
      </c>
    </row>
    <row r="580" spans="1:6" ht="31.5">
      <c r="A580" s="224" t="s">
        <v>51</v>
      </c>
      <c r="B580" s="219">
        <v>2130120260</v>
      </c>
      <c r="C580" s="224">
        <v>240</v>
      </c>
      <c r="D580" s="49" t="s">
        <v>216</v>
      </c>
      <c r="E580" s="17">
        <f>'№ 6 ведом'!F842</f>
        <v>125.8</v>
      </c>
      <c r="F580" s="17">
        <f>'№ 6 ведом'!G842</f>
        <v>125.8</v>
      </c>
    </row>
    <row r="581" spans="1:6" ht="31.5">
      <c r="A581" s="224" t="s">
        <v>51</v>
      </c>
      <c r="B581" s="224">
        <v>2130200000</v>
      </c>
      <c r="C581" s="224"/>
      <c r="D581" s="49" t="s">
        <v>165</v>
      </c>
      <c r="E581" s="17">
        <f t="shared" ref="E581:F583" si="144">E582</f>
        <v>98.5</v>
      </c>
      <c r="F581" s="17">
        <f t="shared" si="144"/>
        <v>98.2</v>
      </c>
    </row>
    <row r="582" spans="1:6" ht="31.5">
      <c r="A582" s="224" t="s">
        <v>51</v>
      </c>
      <c r="B582" s="224">
        <v>2130220270</v>
      </c>
      <c r="C582" s="224"/>
      <c r="D582" s="49" t="s">
        <v>166</v>
      </c>
      <c r="E582" s="17">
        <f t="shared" si="144"/>
        <v>98.5</v>
      </c>
      <c r="F582" s="17">
        <f t="shared" si="144"/>
        <v>98.2</v>
      </c>
    </row>
    <row r="583" spans="1:6" ht="31.5">
      <c r="A583" s="224" t="s">
        <v>51</v>
      </c>
      <c r="B583" s="224">
        <v>2130220270</v>
      </c>
      <c r="C583" s="224" t="s">
        <v>67</v>
      </c>
      <c r="D583" s="49" t="s">
        <v>90</v>
      </c>
      <c r="E583" s="17">
        <f t="shared" si="144"/>
        <v>98.5</v>
      </c>
      <c r="F583" s="17">
        <f t="shared" si="144"/>
        <v>98.2</v>
      </c>
    </row>
    <row r="584" spans="1:6" ht="31.5">
      <c r="A584" s="224" t="s">
        <v>51</v>
      </c>
      <c r="B584" s="224">
        <v>2130220270</v>
      </c>
      <c r="C584" s="224">
        <v>240</v>
      </c>
      <c r="D584" s="49" t="s">
        <v>216</v>
      </c>
      <c r="E584" s="17">
        <f>'№ 6 ведом'!F846</f>
        <v>98.5</v>
      </c>
      <c r="F584" s="17">
        <f>'№ 6 ведом'!G846</f>
        <v>98.2</v>
      </c>
    </row>
    <row r="585" spans="1:6">
      <c r="A585" s="224" t="s">
        <v>51</v>
      </c>
      <c r="B585" s="224">
        <v>9900000000</v>
      </c>
      <c r="C585" s="224"/>
      <c r="D585" s="49" t="s">
        <v>100</v>
      </c>
      <c r="E585" s="17">
        <f t="shared" ref="E585:F586" si="145">E586</f>
        <v>7496.7</v>
      </c>
      <c r="F585" s="17">
        <f t="shared" si="145"/>
        <v>7481.7</v>
      </c>
    </row>
    <row r="586" spans="1:6" ht="31.5">
      <c r="A586" s="224" t="s">
        <v>51</v>
      </c>
      <c r="B586" s="224">
        <v>9990000000</v>
      </c>
      <c r="C586" s="224"/>
      <c r="D586" s="49" t="s">
        <v>141</v>
      </c>
      <c r="E586" s="17">
        <f t="shared" si="145"/>
        <v>7496.7</v>
      </c>
      <c r="F586" s="17">
        <f t="shared" si="145"/>
        <v>7481.7</v>
      </c>
    </row>
    <row r="587" spans="1:6" ht="31.5">
      <c r="A587" s="224" t="s">
        <v>51</v>
      </c>
      <c r="B587" s="224">
        <v>9990200000</v>
      </c>
      <c r="C587" s="24"/>
      <c r="D587" s="49" t="s">
        <v>112</v>
      </c>
      <c r="E587" s="17">
        <f>E588+E593</f>
        <v>7496.7</v>
      </c>
      <c r="F587" s="17">
        <f>F588+F593</f>
        <v>7481.7</v>
      </c>
    </row>
    <row r="588" spans="1:6" ht="47.25">
      <c r="A588" s="224" t="s">
        <v>51</v>
      </c>
      <c r="B588" s="224">
        <v>9990225000</v>
      </c>
      <c r="C588" s="224"/>
      <c r="D588" s="49" t="s">
        <v>113</v>
      </c>
      <c r="E588" s="17">
        <f>E589+E591</f>
        <v>7332.0999999999995</v>
      </c>
      <c r="F588" s="17">
        <f>F589+F591</f>
        <v>7332.0999999999995</v>
      </c>
    </row>
    <row r="589" spans="1:6" ht="63">
      <c r="A589" s="224" t="s">
        <v>51</v>
      </c>
      <c r="B589" s="224">
        <v>9990225000</v>
      </c>
      <c r="C589" s="224" t="s">
        <v>66</v>
      </c>
      <c r="D589" s="49" t="s">
        <v>1</v>
      </c>
      <c r="E589" s="17">
        <f>E590</f>
        <v>7307.9</v>
      </c>
      <c r="F589" s="17">
        <f>F590</f>
        <v>7307.9</v>
      </c>
    </row>
    <row r="590" spans="1:6" ht="31.5">
      <c r="A590" s="224" t="s">
        <v>51</v>
      </c>
      <c r="B590" s="224">
        <v>9990225000</v>
      </c>
      <c r="C590" s="224">
        <v>120</v>
      </c>
      <c r="D590" s="49" t="s">
        <v>217</v>
      </c>
      <c r="E590" s="17">
        <f>'№ 6 ведом'!F852</f>
        <v>7307.9</v>
      </c>
      <c r="F590" s="17">
        <f>'№ 6 ведом'!G852</f>
        <v>7307.9</v>
      </c>
    </row>
    <row r="591" spans="1:6">
      <c r="A591" s="224" t="s">
        <v>51</v>
      </c>
      <c r="B591" s="224">
        <v>9990225000</v>
      </c>
      <c r="C591" s="224" t="s">
        <v>68</v>
      </c>
      <c r="D591" s="49" t="s">
        <v>69</v>
      </c>
      <c r="E591" s="17">
        <f>E592</f>
        <v>24.2</v>
      </c>
      <c r="F591" s="17">
        <f>F592</f>
        <v>24.2</v>
      </c>
    </row>
    <row r="592" spans="1:6">
      <c r="A592" s="224" t="s">
        <v>51</v>
      </c>
      <c r="B592" s="224">
        <v>9990225000</v>
      </c>
      <c r="C592" s="224">
        <v>850</v>
      </c>
      <c r="D592" s="49" t="s">
        <v>95</v>
      </c>
      <c r="E592" s="17">
        <f>'№ 6 ведом'!F854</f>
        <v>24.2</v>
      </c>
      <c r="F592" s="17">
        <f>'№ 6 ведом'!G854</f>
        <v>24.2</v>
      </c>
    </row>
    <row r="593" spans="1:6" ht="47.25">
      <c r="A593" s="224" t="s">
        <v>51</v>
      </c>
      <c r="B593" s="229">
        <v>9990255492</v>
      </c>
      <c r="C593" s="224"/>
      <c r="D593" s="225" t="s">
        <v>409</v>
      </c>
      <c r="E593" s="21">
        <f>E594</f>
        <v>164.6</v>
      </c>
      <c r="F593" s="21">
        <f>F594</f>
        <v>149.6</v>
      </c>
    </row>
    <row r="594" spans="1:6" ht="63">
      <c r="A594" s="224" t="s">
        <v>51</v>
      </c>
      <c r="B594" s="229">
        <v>9990255492</v>
      </c>
      <c r="C594" s="224" t="s">
        <v>66</v>
      </c>
      <c r="D594" s="225" t="s">
        <v>1</v>
      </c>
      <c r="E594" s="21">
        <f>E595</f>
        <v>164.6</v>
      </c>
      <c r="F594" s="21">
        <f>F595</f>
        <v>149.6</v>
      </c>
    </row>
    <row r="595" spans="1:6" ht="31.5">
      <c r="A595" s="224" t="s">
        <v>51</v>
      </c>
      <c r="B595" s="229">
        <v>9990255492</v>
      </c>
      <c r="C595" s="224">
        <v>120</v>
      </c>
      <c r="D595" s="225" t="s">
        <v>217</v>
      </c>
      <c r="E595" s="21">
        <f>'№ 6 ведом'!F857</f>
        <v>164.6</v>
      </c>
      <c r="F595" s="21">
        <f>'№ 6 ведом'!G857</f>
        <v>149.6</v>
      </c>
    </row>
    <row r="596" spans="1:6">
      <c r="A596" s="4" t="s">
        <v>41</v>
      </c>
      <c r="B596" s="4" t="s">
        <v>64</v>
      </c>
      <c r="C596" s="4" t="s">
        <v>64</v>
      </c>
      <c r="D596" s="19" t="s">
        <v>80</v>
      </c>
      <c r="E596" s="6">
        <f>E597</f>
        <v>56287.499999999993</v>
      </c>
      <c r="F596" s="6">
        <f>F597</f>
        <v>55324.899999999994</v>
      </c>
    </row>
    <row r="597" spans="1:6">
      <c r="A597" s="220" t="s">
        <v>42</v>
      </c>
      <c r="B597" s="220" t="s">
        <v>64</v>
      </c>
      <c r="C597" s="220" t="s">
        <v>64</v>
      </c>
      <c r="D597" s="58" t="s">
        <v>13</v>
      </c>
      <c r="E597" s="59">
        <f>E604+E646+E598+E664</f>
        <v>56287.499999999993</v>
      </c>
      <c r="F597" s="59">
        <f>F604+F646+F598+F664</f>
        <v>55324.899999999994</v>
      </c>
    </row>
    <row r="598" spans="1:6" ht="47.25">
      <c r="A598" s="224" t="s">
        <v>42</v>
      </c>
      <c r="B598" s="219">
        <v>2100000000</v>
      </c>
      <c r="C598" s="24"/>
      <c r="D598" s="225" t="s">
        <v>313</v>
      </c>
      <c r="E598" s="17">
        <f>E599</f>
        <v>470.70000000000005</v>
      </c>
      <c r="F598" s="17">
        <f t="shared" ref="F598:F602" si="146">F599</f>
        <v>469.6</v>
      </c>
    </row>
    <row r="599" spans="1:6" ht="31.5">
      <c r="A599" s="224" t="s">
        <v>42</v>
      </c>
      <c r="B599" s="219">
        <v>2130000000</v>
      </c>
      <c r="C599" s="24"/>
      <c r="D599" s="225" t="s">
        <v>109</v>
      </c>
      <c r="E599" s="17">
        <f>E600</f>
        <v>470.70000000000005</v>
      </c>
      <c r="F599" s="17">
        <f t="shared" si="146"/>
        <v>469.6</v>
      </c>
    </row>
    <row r="600" spans="1:6" ht="47.25">
      <c r="A600" s="224" t="s">
        <v>42</v>
      </c>
      <c r="B600" s="219">
        <v>2130300000</v>
      </c>
      <c r="C600" s="24"/>
      <c r="D600" s="225" t="s">
        <v>110</v>
      </c>
      <c r="E600" s="17">
        <f>E601</f>
        <v>470.70000000000005</v>
      </c>
      <c r="F600" s="17">
        <f t="shared" si="146"/>
        <v>469.6</v>
      </c>
    </row>
    <row r="601" spans="1:6" ht="31.5">
      <c r="A601" s="224" t="s">
        <v>42</v>
      </c>
      <c r="B601" s="219">
        <v>2130320280</v>
      </c>
      <c r="C601" s="24"/>
      <c r="D601" s="225" t="s">
        <v>111</v>
      </c>
      <c r="E601" s="17">
        <f>E602</f>
        <v>470.70000000000005</v>
      </c>
      <c r="F601" s="17">
        <f t="shared" si="146"/>
        <v>469.6</v>
      </c>
    </row>
    <row r="602" spans="1:6" ht="31.5">
      <c r="A602" s="224" t="s">
        <v>42</v>
      </c>
      <c r="B602" s="219">
        <v>2130320280</v>
      </c>
      <c r="C602" s="219" t="s">
        <v>92</v>
      </c>
      <c r="D602" s="225" t="s">
        <v>93</v>
      </c>
      <c r="E602" s="17">
        <f>E603</f>
        <v>470.70000000000005</v>
      </c>
      <c r="F602" s="17">
        <f t="shared" si="146"/>
        <v>469.6</v>
      </c>
    </row>
    <row r="603" spans="1:6">
      <c r="A603" s="224" t="s">
        <v>42</v>
      </c>
      <c r="B603" s="219">
        <v>2130320280</v>
      </c>
      <c r="C603" s="224">
        <v>610</v>
      </c>
      <c r="D603" s="225" t="s">
        <v>99</v>
      </c>
      <c r="E603" s="17">
        <f>'№ 6 ведом'!F356</f>
        <v>470.70000000000005</v>
      </c>
      <c r="F603" s="17">
        <f>'№ 6 ведом'!G356</f>
        <v>469.6</v>
      </c>
    </row>
    <row r="604" spans="1:6" ht="47.25">
      <c r="A604" s="224" t="s">
        <v>42</v>
      </c>
      <c r="B604" s="219">
        <v>2200000000</v>
      </c>
      <c r="C604" s="224"/>
      <c r="D604" s="49" t="s">
        <v>311</v>
      </c>
      <c r="E604" s="17">
        <f>E605+E623</f>
        <v>53296.899999999994</v>
      </c>
      <c r="F604" s="17">
        <f>F605+F623</f>
        <v>52480.6</v>
      </c>
    </row>
    <row r="605" spans="1:6" ht="31.5">
      <c r="A605" s="224" t="s">
        <v>42</v>
      </c>
      <c r="B605" s="219">
        <v>2210000000</v>
      </c>
      <c r="C605" s="224"/>
      <c r="D605" s="49" t="s">
        <v>175</v>
      </c>
      <c r="E605" s="17">
        <f>E606+E616</f>
        <v>17070.5</v>
      </c>
      <c r="F605" s="17">
        <f>F606+F616</f>
        <v>17070.5</v>
      </c>
    </row>
    <row r="606" spans="1:6" ht="31.5">
      <c r="A606" s="224" t="s">
        <v>42</v>
      </c>
      <c r="B606" s="219">
        <v>2210100000</v>
      </c>
      <c r="C606" s="224"/>
      <c r="D606" s="49" t="s">
        <v>176</v>
      </c>
      <c r="E606" s="17">
        <f>E610+E607+E613</f>
        <v>16790.5</v>
      </c>
      <c r="F606" s="17">
        <f>F610+F607+F613</f>
        <v>16790.5</v>
      </c>
    </row>
    <row r="607" spans="1:6" ht="47.25">
      <c r="A607" s="224" t="s">
        <v>42</v>
      </c>
      <c r="B607" s="219">
        <v>2210110680</v>
      </c>
      <c r="C607" s="224"/>
      <c r="D607" s="62" t="s">
        <v>231</v>
      </c>
      <c r="E607" s="17">
        <f t="shared" ref="E607:F608" si="147">E608</f>
        <v>8599.9</v>
      </c>
      <c r="F607" s="17">
        <f t="shared" si="147"/>
        <v>8599.9</v>
      </c>
    </row>
    <row r="608" spans="1:6" ht="31.5">
      <c r="A608" s="224" t="s">
        <v>42</v>
      </c>
      <c r="B608" s="219">
        <v>2210110680</v>
      </c>
      <c r="C608" s="219" t="s">
        <v>92</v>
      </c>
      <c r="D608" s="56" t="s">
        <v>93</v>
      </c>
      <c r="E608" s="17">
        <f t="shared" si="147"/>
        <v>8599.9</v>
      </c>
      <c r="F608" s="17">
        <f t="shared" si="147"/>
        <v>8599.9</v>
      </c>
    </row>
    <row r="609" spans="1:6">
      <c r="A609" s="224" t="s">
        <v>42</v>
      </c>
      <c r="B609" s="219">
        <v>2210110680</v>
      </c>
      <c r="C609" s="224">
        <v>610</v>
      </c>
      <c r="D609" s="56" t="s">
        <v>99</v>
      </c>
      <c r="E609" s="17">
        <f>'№ 6 ведом'!F362</f>
        <v>8599.9</v>
      </c>
      <c r="F609" s="17">
        <f>'№ 6 ведом'!G362</f>
        <v>8599.9</v>
      </c>
    </row>
    <row r="610" spans="1:6" ht="31.5">
      <c r="A610" s="224" t="s">
        <v>42</v>
      </c>
      <c r="B610" s="219">
        <v>2210120010</v>
      </c>
      <c r="C610" s="224"/>
      <c r="D610" s="49" t="s">
        <v>118</v>
      </c>
      <c r="E610" s="17">
        <f t="shared" ref="E610:F611" si="148">E611</f>
        <v>8103.6</v>
      </c>
      <c r="F610" s="17">
        <f t="shared" si="148"/>
        <v>8103.6</v>
      </c>
    </row>
    <row r="611" spans="1:6" ht="31.5">
      <c r="A611" s="224" t="s">
        <v>42</v>
      </c>
      <c r="B611" s="219">
        <v>2210120010</v>
      </c>
      <c r="C611" s="219" t="s">
        <v>92</v>
      </c>
      <c r="D611" s="225" t="s">
        <v>93</v>
      </c>
      <c r="E611" s="17">
        <f t="shared" si="148"/>
        <v>8103.6</v>
      </c>
      <c r="F611" s="17">
        <f t="shared" si="148"/>
        <v>8103.6</v>
      </c>
    </row>
    <row r="612" spans="1:6">
      <c r="A612" s="224" t="s">
        <v>42</v>
      </c>
      <c r="B612" s="219">
        <v>2210120010</v>
      </c>
      <c r="C612" s="224">
        <v>610</v>
      </c>
      <c r="D612" s="225" t="s">
        <v>99</v>
      </c>
      <c r="E612" s="17">
        <f>'№ 6 ведом'!F365</f>
        <v>8103.6</v>
      </c>
      <c r="F612" s="17">
        <f>'№ 6 ведом'!G365</f>
        <v>8103.6</v>
      </c>
    </row>
    <row r="613" spans="1:6" ht="47.25">
      <c r="A613" s="224" t="s">
        <v>42</v>
      </c>
      <c r="B613" s="219" t="s">
        <v>302</v>
      </c>
      <c r="C613" s="224"/>
      <c r="D613" s="62" t="s">
        <v>240</v>
      </c>
      <c r="E613" s="17">
        <f t="shared" ref="E613:F614" si="149">E614</f>
        <v>87</v>
      </c>
      <c r="F613" s="17">
        <f t="shared" si="149"/>
        <v>87</v>
      </c>
    </row>
    <row r="614" spans="1:6" ht="31.5">
      <c r="A614" s="224" t="s">
        <v>42</v>
      </c>
      <c r="B614" s="219" t="s">
        <v>302</v>
      </c>
      <c r="C614" s="219" t="s">
        <v>92</v>
      </c>
      <c r="D614" s="56" t="s">
        <v>93</v>
      </c>
      <c r="E614" s="17">
        <f t="shared" si="149"/>
        <v>87</v>
      </c>
      <c r="F614" s="17">
        <f t="shared" si="149"/>
        <v>87</v>
      </c>
    </row>
    <row r="615" spans="1:6">
      <c r="A615" s="224" t="s">
        <v>42</v>
      </c>
      <c r="B615" s="219" t="s">
        <v>302</v>
      </c>
      <c r="C615" s="224">
        <v>610</v>
      </c>
      <c r="D615" s="56" t="s">
        <v>99</v>
      </c>
      <c r="E615" s="17">
        <f>'№ 6 ведом'!F368</f>
        <v>87</v>
      </c>
      <c r="F615" s="17">
        <f>'№ 6 ведом'!G368</f>
        <v>87</v>
      </c>
    </row>
    <row r="616" spans="1:6" ht="31.5">
      <c r="A616" s="224" t="s">
        <v>42</v>
      </c>
      <c r="B616" s="219">
        <v>2210200000</v>
      </c>
      <c r="C616" s="224"/>
      <c r="D616" s="225" t="s">
        <v>177</v>
      </c>
      <c r="E616" s="17">
        <f>E617+E620</f>
        <v>280</v>
      </c>
      <c r="F616" s="17">
        <f t="shared" ref="F616" si="150">F617+F620</f>
        <v>280</v>
      </c>
    </row>
    <row r="617" spans="1:6">
      <c r="A617" s="224" t="s">
        <v>42</v>
      </c>
      <c r="B617" s="219">
        <v>2210220010</v>
      </c>
      <c r="C617" s="224"/>
      <c r="D617" s="225" t="s">
        <v>348</v>
      </c>
      <c r="E617" s="17">
        <f t="shared" ref="E617:F618" si="151">E618</f>
        <v>40</v>
      </c>
      <c r="F617" s="17">
        <f t="shared" si="151"/>
        <v>40</v>
      </c>
    </row>
    <row r="618" spans="1:6" ht="31.5">
      <c r="A618" s="224" t="s">
        <v>42</v>
      </c>
      <c r="B618" s="219">
        <v>2210220010</v>
      </c>
      <c r="C618" s="219" t="s">
        <v>92</v>
      </c>
      <c r="D618" s="225" t="s">
        <v>93</v>
      </c>
      <c r="E618" s="17">
        <f t="shared" si="151"/>
        <v>40</v>
      </c>
      <c r="F618" s="17">
        <f t="shared" si="151"/>
        <v>40</v>
      </c>
    </row>
    <row r="619" spans="1:6">
      <c r="A619" s="224" t="s">
        <v>42</v>
      </c>
      <c r="B619" s="219">
        <v>2210220010</v>
      </c>
      <c r="C619" s="224">
        <v>610</v>
      </c>
      <c r="D619" s="225" t="s">
        <v>99</v>
      </c>
      <c r="E619" s="17">
        <f>'№ 6 ведом'!F372</f>
        <v>40</v>
      </c>
      <c r="F619" s="17">
        <f>'№ 6 ведом'!G372</f>
        <v>40</v>
      </c>
    </row>
    <row r="620" spans="1:6" ht="63">
      <c r="A620" s="224" t="s">
        <v>42</v>
      </c>
      <c r="B620" s="219" t="s">
        <v>378</v>
      </c>
      <c r="C620" s="224"/>
      <c r="D620" s="225" t="s">
        <v>377</v>
      </c>
      <c r="E620" s="17">
        <f>E621</f>
        <v>240</v>
      </c>
      <c r="F620" s="17">
        <f t="shared" ref="F620:F621" si="152">F621</f>
        <v>240</v>
      </c>
    </row>
    <row r="621" spans="1:6" ht="31.5">
      <c r="A621" s="224" t="s">
        <v>42</v>
      </c>
      <c r="B621" s="219" t="s">
        <v>378</v>
      </c>
      <c r="C621" s="219" t="s">
        <v>92</v>
      </c>
      <c r="D621" s="225" t="s">
        <v>93</v>
      </c>
      <c r="E621" s="17">
        <f>E622</f>
        <v>240</v>
      </c>
      <c r="F621" s="17">
        <f t="shared" si="152"/>
        <v>240</v>
      </c>
    </row>
    <row r="622" spans="1:6">
      <c r="A622" s="224" t="s">
        <v>42</v>
      </c>
      <c r="B622" s="219" t="s">
        <v>378</v>
      </c>
      <c r="C622" s="224">
        <v>610</v>
      </c>
      <c r="D622" s="225" t="s">
        <v>99</v>
      </c>
      <c r="E622" s="17">
        <f>'№ 6 ведом'!F375</f>
        <v>240</v>
      </c>
      <c r="F622" s="17">
        <f>'№ 6 ведом'!G375</f>
        <v>240</v>
      </c>
    </row>
    <row r="623" spans="1:6" ht="31.5">
      <c r="A623" s="224" t="s">
        <v>42</v>
      </c>
      <c r="B623" s="219">
        <v>2220000000</v>
      </c>
      <c r="C623" s="224"/>
      <c r="D623" s="49" t="s">
        <v>133</v>
      </c>
      <c r="E623" s="17">
        <f>E624+E634+E638+E642</f>
        <v>36226.399999999994</v>
      </c>
      <c r="F623" s="17">
        <f t="shared" ref="F623" si="153">F624+F634+F638+F642</f>
        <v>35410.1</v>
      </c>
    </row>
    <row r="624" spans="1:6" ht="47.25">
      <c r="A624" s="224" t="s">
        <v>42</v>
      </c>
      <c r="B624" s="224">
        <v>2220100000</v>
      </c>
      <c r="C624" s="224"/>
      <c r="D624" s="49" t="s">
        <v>178</v>
      </c>
      <c r="E624" s="17">
        <f>E625+E628+E631</f>
        <v>32486.6</v>
      </c>
      <c r="F624" s="17">
        <f>F625+F628+F631</f>
        <v>32486.600000000002</v>
      </c>
    </row>
    <row r="625" spans="1:6" ht="47.25">
      <c r="A625" s="224" t="s">
        <v>42</v>
      </c>
      <c r="B625" s="224">
        <v>2220110680</v>
      </c>
      <c r="C625" s="224"/>
      <c r="D625" s="62" t="s">
        <v>231</v>
      </c>
      <c r="E625" s="17">
        <f t="shared" ref="E625:F626" si="154">E626</f>
        <v>17134.400000000001</v>
      </c>
      <c r="F625" s="17">
        <f t="shared" si="154"/>
        <v>17134.400000000001</v>
      </c>
    </row>
    <row r="626" spans="1:6" ht="31.5">
      <c r="A626" s="224" t="s">
        <v>42</v>
      </c>
      <c r="B626" s="224">
        <v>2220110680</v>
      </c>
      <c r="C626" s="219" t="s">
        <v>92</v>
      </c>
      <c r="D626" s="56" t="s">
        <v>93</v>
      </c>
      <c r="E626" s="17">
        <f t="shared" si="154"/>
        <v>17134.400000000001</v>
      </c>
      <c r="F626" s="17">
        <f t="shared" si="154"/>
        <v>17134.400000000001</v>
      </c>
    </row>
    <row r="627" spans="1:6">
      <c r="A627" s="224" t="s">
        <v>42</v>
      </c>
      <c r="B627" s="224">
        <v>2220110680</v>
      </c>
      <c r="C627" s="224">
        <v>610</v>
      </c>
      <c r="D627" s="56" t="s">
        <v>99</v>
      </c>
      <c r="E627" s="17">
        <f>'№ 6 ведом'!F380</f>
        <v>17134.400000000001</v>
      </c>
      <c r="F627" s="17">
        <f>'№ 6 ведом'!G380</f>
        <v>17134.400000000001</v>
      </c>
    </row>
    <row r="628" spans="1:6" ht="31.5">
      <c r="A628" s="224" t="s">
        <v>42</v>
      </c>
      <c r="B628" s="224">
        <v>2220120010</v>
      </c>
      <c r="C628" s="224"/>
      <c r="D628" s="225" t="s">
        <v>118</v>
      </c>
      <c r="E628" s="17">
        <f t="shared" ref="E628:F629" si="155">E629</f>
        <v>15179.199999999999</v>
      </c>
      <c r="F628" s="17">
        <f t="shared" si="155"/>
        <v>15179.2</v>
      </c>
    </row>
    <row r="629" spans="1:6" ht="31.5">
      <c r="A629" s="224" t="s">
        <v>42</v>
      </c>
      <c r="B629" s="224">
        <v>2220120010</v>
      </c>
      <c r="C629" s="219" t="s">
        <v>92</v>
      </c>
      <c r="D629" s="225" t="s">
        <v>93</v>
      </c>
      <c r="E629" s="17">
        <f t="shared" si="155"/>
        <v>15179.199999999999</v>
      </c>
      <c r="F629" s="17">
        <f t="shared" si="155"/>
        <v>15179.2</v>
      </c>
    </row>
    <row r="630" spans="1:6">
      <c r="A630" s="224" t="s">
        <v>42</v>
      </c>
      <c r="B630" s="224">
        <v>2220120010</v>
      </c>
      <c r="C630" s="224">
        <v>610</v>
      </c>
      <c r="D630" s="225" t="s">
        <v>99</v>
      </c>
      <c r="E630" s="17">
        <f>'№ 6 ведом'!F383</f>
        <v>15179.199999999999</v>
      </c>
      <c r="F630" s="17">
        <f>'№ 6 ведом'!G383</f>
        <v>15179.2</v>
      </c>
    </row>
    <row r="631" spans="1:6" ht="47.25">
      <c r="A631" s="224" t="s">
        <v>42</v>
      </c>
      <c r="B631" s="224" t="s">
        <v>303</v>
      </c>
      <c r="C631" s="224"/>
      <c r="D631" s="62" t="s">
        <v>240</v>
      </c>
      <c r="E631" s="17">
        <f t="shared" ref="E631:F632" si="156">E632</f>
        <v>173</v>
      </c>
      <c r="F631" s="17">
        <f t="shared" si="156"/>
        <v>173</v>
      </c>
    </row>
    <row r="632" spans="1:6" ht="31.5">
      <c r="A632" s="224" t="s">
        <v>42</v>
      </c>
      <c r="B632" s="224" t="s">
        <v>303</v>
      </c>
      <c r="C632" s="219" t="s">
        <v>92</v>
      </c>
      <c r="D632" s="56" t="s">
        <v>93</v>
      </c>
      <c r="E632" s="17">
        <f t="shared" si="156"/>
        <v>173</v>
      </c>
      <c r="F632" s="17">
        <f t="shared" si="156"/>
        <v>173</v>
      </c>
    </row>
    <row r="633" spans="1:6">
      <c r="A633" s="224" t="s">
        <v>42</v>
      </c>
      <c r="B633" s="224" t="s">
        <v>303</v>
      </c>
      <c r="C633" s="224">
        <v>610</v>
      </c>
      <c r="D633" s="56" t="s">
        <v>99</v>
      </c>
      <c r="E633" s="17">
        <f>'№ 6 ведом'!F386</f>
        <v>173</v>
      </c>
      <c r="F633" s="17">
        <f>'№ 6 ведом'!G386</f>
        <v>173</v>
      </c>
    </row>
    <row r="634" spans="1:6" ht="31.5">
      <c r="A634" s="224" t="s">
        <v>42</v>
      </c>
      <c r="B634" s="224">
        <v>2220200000</v>
      </c>
      <c r="C634" s="224"/>
      <c r="D634" s="49" t="s">
        <v>179</v>
      </c>
      <c r="E634" s="17">
        <f>E635</f>
        <v>2677</v>
      </c>
      <c r="F634" s="17">
        <f t="shared" ref="F634:F636" si="157">F635</f>
        <v>1860.8</v>
      </c>
    </row>
    <row r="635" spans="1:6">
      <c r="A635" s="224" t="s">
        <v>42</v>
      </c>
      <c r="B635" s="224">
        <v>2220220320</v>
      </c>
      <c r="C635" s="224"/>
      <c r="D635" s="49" t="s">
        <v>134</v>
      </c>
      <c r="E635" s="17">
        <f>E636</f>
        <v>2677</v>
      </c>
      <c r="F635" s="17">
        <f t="shared" si="157"/>
        <v>1860.8</v>
      </c>
    </row>
    <row r="636" spans="1:6" ht="31.5">
      <c r="A636" s="224" t="s">
        <v>42</v>
      </c>
      <c r="B636" s="224">
        <v>2220220320</v>
      </c>
      <c r="C636" s="219" t="s">
        <v>92</v>
      </c>
      <c r="D636" s="225" t="s">
        <v>93</v>
      </c>
      <c r="E636" s="17">
        <f>E637</f>
        <v>2677</v>
      </c>
      <c r="F636" s="17">
        <f t="shared" si="157"/>
        <v>1860.8</v>
      </c>
    </row>
    <row r="637" spans="1:6">
      <c r="A637" s="68" t="s">
        <v>42</v>
      </c>
      <c r="B637" s="224">
        <v>2220220320</v>
      </c>
      <c r="C637" s="68">
        <v>610</v>
      </c>
      <c r="D637" s="225" t="s">
        <v>99</v>
      </c>
      <c r="E637" s="17">
        <f>'№ 6 ведом'!F390</f>
        <v>2677</v>
      </c>
      <c r="F637" s="69">
        <f>'№ 6 ведом'!G390</f>
        <v>1860.8</v>
      </c>
    </row>
    <row r="638" spans="1:6" ht="47.25">
      <c r="A638" s="224" t="s">
        <v>42</v>
      </c>
      <c r="B638" s="224">
        <v>2220300000</v>
      </c>
      <c r="C638" s="224"/>
      <c r="D638" s="56" t="s">
        <v>322</v>
      </c>
      <c r="E638" s="17">
        <f>E639</f>
        <v>600.1</v>
      </c>
      <c r="F638" s="17">
        <f t="shared" ref="F638:F640" si="158">F639</f>
        <v>600</v>
      </c>
    </row>
    <row r="639" spans="1:6" ht="47.25">
      <c r="A639" s="224" t="s">
        <v>42</v>
      </c>
      <c r="B639" s="224" t="s">
        <v>323</v>
      </c>
      <c r="C639" s="224"/>
      <c r="D639" s="56" t="s">
        <v>337</v>
      </c>
      <c r="E639" s="17">
        <f>E640</f>
        <v>600.1</v>
      </c>
      <c r="F639" s="17">
        <f t="shared" si="158"/>
        <v>600</v>
      </c>
    </row>
    <row r="640" spans="1:6" ht="31.5">
      <c r="A640" s="224" t="s">
        <v>42</v>
      </c>
      <c r="B640" s="224" t="s">
        <v>323</v>
      </c>
      <c r="C640" s="219" t="s">
        <v>92</v>
      </c>
      <c r="D640" s="56" t="s">
        <v>93</v>
      </c>
      <c r="E640" s="17">
        <f>E641</f>
        <v>600.1</v>
      </c>
      <c r="F640" s="17">
        <f t="shared" si="158"/>
        <v>600</v>
      </c>
    </row>
    <row r="641" spans="1:6">
      <c r="A641" s="224" t="s">
        <v>42</v>
      </c>
      <c r="B641" s="224" t="s">
        <v>323</v>
      </c>
      <c r="C641" s="224">
        <v>610</v>
      </c>
      <c r="D641" s="56" t="s">
        <v>99</v>
      </c>
      <c r="E641" s="17">
        <f>'№ 6 ведом'!F394</f>
        <v>600.1</v>
      </c>
      <c r="F641" s="17">
        <f>'№ 6 ведом'!G394</f>
        <v>600</v>
      </c>
    </row>
    <row r="642" spans="1:6" ht="63">
      <c r="A642" s="224" t="s">
        <v>42</v>
      </c>
      <c r="B642" s="224">
        <v>2220400000</v>
      </c>
      <c r="C642" s="224"/>
      <c r="D642" s="56" t="s">
        <v>394</v>
      </c>
      <c r="E642" s="17">
        <f>E643</f>
        <v>462.7</v>
      </c>
      <c r="F642" s="17">
        <f t="shared" ref="F642:F644" si="159">F643</f>
        <v>462.7</v>
      </c>
    </row>
    <row r="643" spans="1:6" ht="31.5">
      <c r="A643" s="224" t="s">
        <v>42</v>
      </c>
      <c r="B643" s="224">
        <v>2220420020</v>
      </c>
      <c r="C643" s="224"/>
      <c r="D643" s="56" t="s">
        <v>358</v>
      </c>
      <c r="E643" s="17">
        <f>E644</f>
        <v>462.7</v>
      </c>
      <c r="F643" s="17">
        <f t="shared" si="159"/>
        <v>462.7</v>
      </c>
    </row>
    <row r="644" spans="1:6" ht="31.5">
      <c r="A644" s="224" t="s">
        <v>42</v>
      </c>
      <c r="B644" s="224">
        <v>2220420020</v>
      </c>
      <c r="C644" s="219" t="s">
        <v>92</v>
      </c>
      <c r="D644" s="56" t="s">
        <v>93</v>
      </c>
      <c r="E644" s="17">
        <f>E645</f>
        <v>462.7</v>
      </c>
      <c r="F644" s="17">
        <f t="shared" si="159"/>
        <v>462.7</v>
      </c>
    </row>
    <row r="645" spans="1:6">
      <c r="A645" s="224" t="s">
        <v>42</v>
      </c>
      <c r="B645" s="224">
        <v>2220420020</v>
      </c>
      <c r="C645" s="224">
        <v>610</v>
      </c>
      <c r="D645" s="56" t="s">
        <v>99</v>
      </c>
      <c r="E645" s="17">
        <f>'№ 6 ведом'!F398</f>
        <v>462.7</v>
      </c>
      <c r="F645" s="17">
        <f>'№ 6 ведом'!G398</f>
        <v>462.7</v>
      </c>
    </row>
    <row r="646" spans="1:6" ht="31.5">
      <c r="A646" s="224" t="s">
        <v>42</v>
      </c>
      <c r="B646" s="219">
        <v>2500000000</v>
      </c>
      <c r="C646" s="224"/>
      <c r="D646" s="225" t="s">
        <v>312</v>
      </c>
      <c r="E646" s="17">
        <f>E647</f>
        <v>2419.9</v>
      </c>
      <c r="F646" s="17">
        <f t="shared" ref="F646" si="160">F647</f>
        <v>2274.6999999999998</v>
      </c>
    </row>
    <row r="647" spans="1:6" ht="31.5">
      <c r="A647" s="224" t="s">
        <v>42</v>
      </c>
      <c r="B647" s="219">
        <v>2520000000</v>
      </c>
      <c r="C647" s="224"/>
      <c r="D647" s="225" t="s">
        <v>241</v>
      </c>
      <c r="E647" s="17">
        <f>E652+E656+E660+E648</f>
        <v>2419.9</v>
      </c>
      <c r="F647" s="17">
        <f>F652+F656+F660+F648</f>
        <v>2274.6999999999998</v>
      </c>
    </row>
    <row r="648" spans="1:6" ht="63">
      <c r="A648" s="224" t="s">
        <v>42</v>
      </c>
      <c r="B648" s="224">
        <v>2520100000</v>
      </c>
      <c r="C648" s="224"/>
      <c r="D648" s="56" t="s">
        <v>366</v>
      </c>
      <c r="E648" s="17">
        <f>E649</f>
        <v>406.20000000000005</v>
      </c>
      <c r="F648" s="17">
        <f t="shared" ref="F648:F650" si="161">F649</f>
        <v>406.2</v>
      </c>
    </row>
    <row r="649" spans="1:6" ht="31.5">
      <c r="A649" s="224" t="s">
        <v>42</v>
      </c>
      <c r="B649" s="10" t="s">
        <v>367</v>
      </c>
      <c r="C649" s="224"/>
      <c r="D649" s="56" t="s">
        <v>368</v>
      </c>
      <c r="E649" s="17">
        <f>E650</f>
        <v>406.20000000000005</v>
      </c>
      <c r="F649" s="17">
        <f t="shared" si="161"/>
        <v>406.2</v>
      </c>
    </row>
    <row r="650" spans="1:6" ht="31.5">
      <c r="A650" s="224" t="s">
        <v>42</v>
      </c>
      <c r="B650" s="10" t="s">
        <v>367</v>
      </c>
      <c r="C650" s="219" t="s">
        <v>92</v>
      </c>
      <c r="D650" s="56" t="s">
        <v>93</v>
      </c>
      <c r="E650" s="17">
        <f>E651</f>
        <v>406.20000000000005</v>
      </c>
      <c r="F650" s="17">
        <f t="shared" si="161"/>
        <v>406.2</v>
      </c>
    </row>
    <row r="651" spans="1:6">
      <c r="A651" s="224" t="s">
        <v>42</v>
      </c>
      <c r="B651" s="10" t="s">
        <v>367</v>
      </c>
      <c r="C651" s="224">
        <v>610</v>
      </c>
      <c r="D651" s="56" t="s">
        <v>99</v>
      </c>
      <c r="E651" s="17">
        <f>'№ 6 ведом'!F404</f>
        <v>406.20000000000005</v>
      </c>
      <c r="F651" s="17">
        <f>'№ 6 ведом'!G404</f>
        <v>406.2</v>
      </c>
    </row>
    <row r="652" spans="1:6" ht="31.5">
      <c r="A652" s="224" t="s">
        <v>42</v>
      </c>
      <c r="B652" s="219">
        <v>2520400000</v>
      </c>
      <c r="C652" s="224"/>
      <c r="D652" s="56" t="s">
        <v>330</v>
      </c>
      <c r="E652" s="17">
        <f>E653</f>
        <v>256.5</v>
      </c>
      <c r="F652" s="17">
        <f t="shared" ref="F652:F654" si="162">F653</f>
        <v>251.3</v>
      </c>
    </row>
    <row r="653" spans="1:6">
      <c r="A653" s="224" t="s">
        <v>42</v>
      </c>
      <c r="B653" s="219">
        <v>2520420300</v>
      </c>
      <c r="C653" s="224"/>
      <c r="D653" s="56" t="s">
        <v>331</v>
      </c>
      <c r="E653" s="17">
        <f>E654</f>
        <v>256.5</v>
      </c>
      <c r="F653" s="17">
        <f t="shared" si="162"/>
        <v>251.3</v>
      </c>
    </row>
    <row r="654" spans="1:6" ht="31.5">
      <c r="A654" s="224" t="s">
        <v>42</v>
      </c>
      <c r="B654" s="219">
        <v>2520420300</v>
      </c>
      <c r="C654" s="219" t="s">
        <v>92</v>
      </c>
      <c r="D654" s="56" t="s">
        <v>93</v>
      </c>
      <c r="E654" s="17">
        <f>E655</f>
        <v>256.5</v>
      </c>
      <c r="F654" s="17">
        <f t="shared" si="162"/>
        <v>251.3</v>
      </c>
    </row>
    <row r="655" spans="1:6">
      <c r="A655" s="224" t="s">
        <v>42</v>
      </c>
      <c r="B655" s="219">
        <v>2520420300</v>
      </c>
      <c r="C655" s="224">
        <v>610</v>
      </c>
      <c r="D655" s="56" t="s">
        <v>99</v>
      </c>
      <c r="E655" s="17">
        <f>'№ 6 ведом'!F408</f>
        <v>256.5</v>
      </c>
      <c r="F655" s="17">
        <f>'№ 6 ведом'!G408</f>
        <v>251.3</v>
      </c>
    </row>
    <row r="656" spans="1:6" ht="31.5">
      <c r="A656" s="224" t="s">
        <v>42</v>
      </c>
      <c r="B656" s="219">
        <v>2520500000</v>
      </c>
      <c r="C656" s="224"/>
      <c r="D656" s="225" t="s">
        <v>341</v>
      </c>
      <c r="E656" s="17">
        <f>E657</f>
        <v>47.2</v>
      </c>
      <c r="F656" s="17">
        <f t="shared" ref="F656:F658" si="163">F657</f>
        <v>41.9</v>
      </c>
    </row>
    <row r="657" spans="1:6">
      <c r="A657" s="224" t="s">
        <v>42</v>
      </c>
      <c r="B657" s="219">
        <v>2520520300</v>
      </c>
      <c r="C657" s="224"/>
      <c r="D657" s="225" t="s">
        <v>342</v>
      </c>
      <c r="E657" s="17">
        <f>E658</f>
        <v>47.2</v>
      </c>
      <c r="F657" s="17">
        <f t="shared" si="163"/>
        <v>41.9</v>
      </c>
    </row>
    <row r="658" spans="1:6" ht="31.5">
      <c r="A658" s="224" t="s">
        <v>42</v>
      </c>
      <c r="B658" s="219">
        <v>2520520300</v>
      </c>
      <c r="C658" s="219" t="s">
        <v>92</v>
      </c>
      <c r="D658" s="56" t="s">
        <v>93</v>
      </c>
      <c r="E658" s="17">
        <f>E659</f>
        <v>47.2</v>
      </c>
      <c r="F658" s="17">
        <f t="shared" si="163"/>
        <v>41.9</v>
      </c>
    </row>
    <row r="659" spans="1:6">
      <c r="A659" s="224" t="s">
        <v>42</v>
      </c>
      <c r="B659" s="219">
        <v>2520520300</v>
      </c>
      <c r="C659" s="224">
        <v>610</v>
      </c>
      <c r="D659" s="56" t="s">
        <v>99</v>
      </c>
      <c r="E659" s="17">
        <f>'№ 6 ведом'!F412</f>
        <v>47.2</v>
      </c>
      <c r="F659" s="17">
        <f>'№ 6 ведом'!G412</f>
        <v>41.9</v>
      </c>
    </row>
    <row r="660" spans="1:6" ht="31.5">
      <c r="A660" s="224" t="s">
        <v>42</v>
      </c>
      <c r="B660" s="219">
        <v>2520600000</v>
      </c>
      <c r="C660" s="224"/>
      <c r="D660" s="225" t="s">
        <v>340</v>
      </c>
      <c r="E660" s="17">
        <f>E661</f>
        <v>1710</v>
      </c>
      <c r="F660" s="17">
        <f t="shared" ref="F660:F662" si="164">F661</f>
        <v>1575.3</v>
      </c>
    </row>
    <row r="661" spans="1:6">
      <c r="A661" s="224" t="s">
        <v>42</v>
      </c>
      <c r="B661" s="219">
        <v>2520620200</v>
      </c>
      <c r="C661" s="224"/>
      <c r="D661" s="225" t="s">
        <v>275</v>
      </c>
      <c r="E661" s="17">
        <f>E662</f>
        <v>1710</v>
      </c>
      <c r="F661" s="17">
        <f t="shared" si="164"/>
        <v>1575.3</v>
      </c>
    </row>
    <row r="662" spans="1:6" ht="31.5">
      <c r="A662" s="224" t="s">
        <v>42</v>
      </c>
      <c r="B662" s="219">
        <v>2520620200</v>
      </c>
      <c r="C662" s="219" t="s">
        <v>92</v>
      </c>
      <c r="D662" s="56" t="s">
        <v>93</v>
      </c>
      <c r="E662" s="17">
        <f>E663</f>
        <v>1710</v>
      </c>
      <c r="F662" s="17">
        <f t="shared" si="164"/>
        <v>1575.3</v>
      </c>
    </row>
    <row r="663" spans="1:6">
      <c r="A663" s="224" t="s">
        <v>42</v>
      </c>
      <c r="B663" s="219">
        <v>2520620200</v>
      </c>
      <c r="C663" s="224">
        <v>610</v>
      </c>
      <c r="D663" s="56" t="s">
        <v>99</v>
      </c>
      <c r="E663" s="17">
        <f>'№ 6 ведом'!F416</f>
        <v>1710</v>
      </c>
      <c r="F663" s="17">
        <f>'№ 6 ведом'!G416</f>
        <v>1575.3</v>
      </c>
    </row>
    <row r="664" spans="1:6">
      <c r="A664" s="224" t="s">
        <v>42</v>
      </c>
      <c r="B664" s="219">
        <v>9900000000</v>
      </c>
      <c r="C664" s="219"/>
      <c r="D664" s="56" t="s">
        <v>100</v>
      </c>
      <c r="E664" s="17">
        <f>E665</f>
        <v>100</v>
      </c>
      <c r="F664" s="17">
        <f t="shared" ref="F664:F667" si="165">F665</f>
        <v>100</v>
      </c>
    </row>
    <row r="665" spans="1:6" ht="47.25">
      <c r="A665" s="224" t="s">
        <v>42</v>
      </c>
      <c r="B665" s="219">
        <v>9920000000</v>
      </c>
      <c r="C665" s="219"/>
      <c r="D665" s="56" t="s">
        <v>381</v>
      </c>
      <c r="E665" s="17">
        <f>E666</f>
        <v>100</v>
      </c>
      <c r="F665" s="17">
        <f t="shared" si="165"/>
        <v>100</v>
      </c>
    </row>
    <row r="666" spans="1:6" ht="47.25">
      <c r="A666" s="224" t="s">
        <v>42</v>
      </c>
      <c r="B666" s="219">
        <v>9920010920</v>
      </c>
      <c r="C666" s="219"/>
      <c r="D666" s="56" t="s">
        <v>382</v>
      </c>
      <c r="E666" s="17">
        <f>E667</f>
        <v>100</v>
      </c>
      <c r="F666" s="17">
        <f t="shared" si="165"/>
        <v>100</v>
      </c>
    </row>
    <row r="667" spans="1:6" ht="31.5">
      <c r="A667" s="224" t="s">
        <v>42</v>
      </c>
      <c r="B667" s="219">
        <v>9920010920</v>
      </c>
      <c r="C667" s="219" t="s">
        <v>92</v>
      </c>
      <c r="D667" s="56" t="s">
        <v>93</v>
      </c>
      <c r="E667" s="17">
        <f>E668</f>
        <v>100</v>
      </c>
      <c r="F667" s="17">
        <f t="shared" si="165"/>
        <v>100</v>
      </c>
    </row>
    <row r="668" spans="1:6">
      <c r="A668" s="224" t="s">
        <v>42</v>
      </c>
      <c r="B668" s="219">
        <v>9920010920</v>
      </c>
      <c r="C668" s="219">
        <v>610</v>
      </c>
      <c r="D668" s="56" t="s">
        <v>99</v>
      </c>
      <c r="E668" s="17">
        <f>'№ 6 ведом'!F421</f>
        <v>100</v>
      </c>
      <c r="F668" s="17">
        <f>'№ 6 ведом'!G421</f>
        <v>100</v>
      </c>
    </row>
    <row r="669" spans="1:6">
      <c r="A669" s="16" t="s">
        <v>39</v>
      </c>
      <c r="B669" s="16" t="s">
        <v>64</v>
      </c>
      <c r="C669" s="16" t="s">
        <v>64</v>
      </c>
      <c r="D669" s="19" t="s">
        <v>31</v>
      </c>
      <c r="E669" s="60">
        <f>E670+E679+E692</f>
        <v>34254.6</v>
      </c>
      <c r="F669" s="60">
        <f>F670+F679+F692</f>
        <v>33096</v>
      </c>
    </row>
    <row r="670" spans="1:6">
      <c r="A670" s="224">
        <v>1001</v>
      </c>
      <c r="B670" s="16"/>
      <c r="C670" s="16"/>
      <c r="D670" s="49" t="s">
        <v>32</v>
      </c>
      <c r="E670" s="17">
        <f>'№ 6 ведом'!F423</f>
        <v>698.3</v>
      </c>
      <c r="F670" s="17">
        <f>F671</f>
        <v>617.6</v>
      </c>
    </row>
    <row r="671" spans="1:6" ht="47.25">
      <c r="A671" s="224" t="s">
        <v>52</v>
      </c>
      <c r="B671" s="219">
        <v>2200000000</v>
      </c>
      <c r="C671" s="224" t="s">
        <v>64</v>
      </c>
      <c r="D671" s="49" t="s">
        <v>311</v>
      </c>
      <c r="E671" s="17">
        <f>E672</f>
        <v>698.3</v>
      </c>
      <c r="F671" s="17">
        <f t="shared" ref="F671:F675" si="166">F672</f>
        <v>617.6</v>
      </c>
    </row>
    <row r="672" spans="1:6" ht="31.5">
      <c r="A672" s="224" t="s">
        <v>52</v>
      </c>
      <c r="B672" s="219">
        <v>2240000000</v>
      </c>
      <c r="C672" s="224"/>
      <c r="D672" s="49" t="s">
        <v>127</v>
      </c>
      <c r="E672" s="17">
        <f>'№ 6 ведом'!F425</f>
        <v>698.3</v>
      </c>
      <c r="F672" s="17">
        <f t="shared" si="166"/>
        <v>617.6</v>
      </c>
    </row>
    <row r="673" spans="1:6">
      <c r="A673" s="224" t="s">
        <v>52</v>
      </c>
      <c r="B673" s="224">
        <v>2240400000</v>
      </c>
      <c r="C673" s="224"/>
      <c r="D673" s="49" t="s">
        <v>180</v>
      </c>
      <c r="E673" s="17">
        <f>E674</f>
        <v>698.3</v>
      </c>
      <c r="F673" s="17">
        <f t="shared" si="166"/>
        <v>617.6</v>
      </c>
    </row>
    <row r="674" spans="1:6" ht="47.25">
      <c r="A674" s="224" t="s">
        <v>52</v>
      </c>
      <c r="B674" s="224">
        <v>2240420390</v>
      </c>
      <c r="C674" s="224"/>
      <c r="D674" s="49" t="s">
        <v>65</v>
      </c>
      <c r="E674" s="17">
        <f>'№ 6 ведом'!F427</f>
        <v>698.3</v>
      </c>
      <c r="F674" s="17">
        <f>F675+F677</f>
        <v>617.6</v>
      </c>
    </row>
    <row r="675" spans="1:6" ht="31.5">
      <c r="A675" s="224" t="s">
        <v>52</v>
      </c>
      <c r="B675" s="224">
        <v>2240420390</v>
      </c>
      <c r="C675" s="219" t="s">
        <v>67</v>
      </c>
      <c r="D675" s="225" t="s">
        <v>90</v>
      </c>
      <c r="E675" s="17">
        <f>E676</f>
        <v>20.3</v>
      </c>
      <c r="F675" s="17">
        <f t="shared" si="166"/>
        <v>0</v>
      </c>
    </row>
    <row r="676" spans="1:6" ht="31.5">
      <c r="A676" s="224" t="s">
        <v>52</v>
      </c>
      <c r="B676" s="224">
        <v>2240420390</v>
      </c>
      <c r="C676" s="224">
        <v>240</v>
      </c>
      <c r="D676" s="225" t="s">
        <v>216</v>
      </c>
      <c r="E676" s="17">
        <f>'№ 6 ведом'!F429</f>
        <v>20.3</v>
      </c>
      <c r="F676" s="17">
        <f>'№ 6 ведом'!G429</f>
        <v>0</v>
      </c>
    </row>
    <row r="677" spans="1:6">
      <c r="A677" s="224" t="s">
        <v>52</v>
      </c>
      <c r="B677" s="224">
        <v>2240420390</v>
      </c>
      <c r="C677" s="219" t="s">
        <v>71</v>
      </c>
      <c r="D677" s="225" t="s">
        <v>72</v>
      </c>
      <c r="E677" s="17">
        <f>E678</f>
        <v>678</v>
      </c>
      <c r="F677" s="17">
        <f>F678</f>
        <v>617.6</v>
      </c>
    </row>
    <row r="678" spans="1:6">
      <c r="A678" s="224" t="s">
        <v>52</v>
      </c>
      <c r="B678" s="224">
        <v>2240420390</v>
      </c>
      <c r="C678" s="219" t="s">
        <v>135</v>
      </c>
      <c r="D678" s="225" t="s">
        <v>136</v>
      </c>
      <c r="E678" s="17">
        <f>'№ 6 ведом'!F431</f>
        <v>678</v>
      </c>
      <c r="F678" s="17">
        <f>'№ 6 ведом'!G431</f>
        <v>617.6</v>
      </c>
    </row>
    <row r="679" spans="1:6">
      <c r="A679" s="224" t="s">
        <v>40</v>
      </c>
      <c r="B679" s="224" t="s">
        <v>64</v>
      </c>
      <c r="C679" s="224" t="s">
        <v>64</v>
      </c>
      <c r="D679" s="225" t="s">
        <v>34</v>
      </c>
      <c r="E679" s="17">
        <f t="shared" ref="E679:F680" si="167">E680</f>
        <v>607.1</v>
      </c>
      <c r="F679" s="17">
        <f t="shared" si="167"/>
        <v>572</v>
      </c>
    </row>
    <row r="680" spans="1:6" ht="47.25">
      <c r="A680" s="224" t="s">
        <v>40</v>
      </c>
      <c r="B680" s="219">
        <v>2200000000</v>
      </c>
      <c r="C680" s="224" t="s">
        <v>64</v>
      </c>
      <c r="D680" s="49" t="s">
        <v>311</v>
      </c>
      <c r="E680" s="17">
        <f t="shared" si="167"/>
        <v>607.1</v>
      </c>
      <c r="F680" s="17">
        <f t="shared" si="167"/>
        <v>572</v>
      </c>
    </row>
    <row r="681" spans="1:6" ht="31.5">
      <c r="A681" s="224" t="s">
        <v>40</v>
      </c>
      <c r="B681" s="219">
        <v>2240000000</v>
      </c>
      <c r="C681" s="224"/>
      <c r="D681" s="49" t="s">
        <v>127</v>
      </c>
      <c r="E681" s="17">
        <f>E682+E686</f>
        <v>607.1</v>
      </c>
      <c r="F681" s="17">
        <f t="shared" ref="F681" si="168">F682+F686</f>
        <v>572</v>
      </c>
    </row>
    <row r="682" spans="1:6" ht="31.5">
      <c r="A682" s="224" t="s">
        <v>40</v>
      </c>
      <c r="B682" s="219">
        <v>2240100000</v>
      </c>
      <c r="C682" s="224"/>
      <c r="D682" s="49" t="s">
        <v>181</v>
      </c>
      <c r="E682" s="17">
        <f>'№ 6 ведом'!F435</f>
        <v>500</v>
      </c>
      <c r="F682" s="17">
        <f t="shared" ref="F682:F684" si="169">F683</f>
        <v>500</v>
      </c>
    </row>
    <row r="683" spans="1:6" ht="31.5">
      <c r="A683" s="224" t="s">
        <v>40</v>
      </c>
      <c r="B683" s="219">
        <v>2240120330</v>
      </c>
      <c r="C683" s="224"/>
      <c r="D683" s="49" t="s">
        <v>137</v>
      </c>
      <c r="E683" s="17">
        <f>E684</f>
        <v>500</v>
      </c>
      <c r="F683" s="17">
        <f t="shared" si="169"/>
        <v>500</v>
      </c>
    </row>
    <row r="684" spans="1:6" ht="31.5">
      <c r="A684" s="224" t="s">
        <v>40</v>
      </c>
      <c r="B684" s="219">
        <v>2240120330</v>
      </c>
      <c r="C684" s="219" t="s">
        <v>92</v>
      </c>
      <c r="D684" s="225" t="s">
        <v>93</v>
      </c>
      <c r="E684" s="17">
        <f>E685</f>
        <v>500</v>
      </c>
      <c r="F684" s="17">
        <f t="shared" si="169"/>
        <v>500</v>
      </c>
    </row>
    <row r="685" spans="1:6" ht="31.5">
      <c r="A685" s="224" t="s">
        <v>40</v>
      </c>
      <c r="B685" s="219">
        <v>2240120330</v>
      </c>
      <c r="C685" s="224">
        <v>630</v>
      </c>
      <c r="D685" s="49" t="s">
        <v>138</v>
      </c>
      <c r="E685" s="17">
        <f>'№ 6 ведом'!F438</f>
        <v>500</v>
      </c>
      <c r="F685" s="17">
        <f>'№ 6 ведом'!G438</f>
        <v>500</v>
      </c>
    </row>
    <row r="686" spans="1:6" ht="31.5">
      <c r="A686" s="224" t="s">
        <v>40</v>
      </c>
      <c r="B686" s="219">
        <v>2240200000</v>
      </c>
      <c r="C686" s="3"/>
      <c r="D686" s="49" t="s">
        <v>139</v>
      </c>
      <c r="E686" s="17">
        <f>E687</f>
        <v>107.1</v>
      </c>
      <c r="F686" s="17">
        <f>F687</f>
        <v>72</v>
      </c>
    </row>
    <row r="687" spans="1:6" ht="31.5">
      <c r="A687" s="224" t="s">
        <v>40</v>
      </c>
      <c r="B687" s="219">
        <v>2240220350</v>
      </c>
      <c r="C687" s="224"/>
      <c r="D687" s="49" t="s">
        <v>182</v>
      </c>
      <c r="E687" s="17">
        <f>E688+E690</f>
        <v>107.1</v>
      </c>
      <c r="F687" s="17">
        <f>F688+F690</f>
        <v>72</v>
      </c>
    </row>
    <row r="688" spans="1:6" ht="31.5">
      <c r="A688" s="224" t="s">
        <v>40</v>
      </c>
      <c r="B688" s="219">
        <v>2240220350</v>
      </c>
      <c r="C688" s="219" t="s">
        <v>67</v>
      </c>
      <c r="D688" s="225" t="s">
        <v>90</v>
      </c>
      <c r="E688" s="17">
        <f>E689</f>
        <v>3.1</v>
      </c>
      <c r="F688" s="17">
        <f>F689</f>
        <v>0</v>
      </c>
    </row>
    <row r="689" spans="1:6" ht="31.5">
      <c r="A689" s="224" t="s">
        <v>40</v>
      </c>
      <c r="B689" s="219">
        <v>2240220350</v>
      </c>
      <c r="C689" s="224">
        <v>240</v>
      </c>
      <c r="D689" s="49" t="s">
        <v>216</v>
      </c>
      <c r="E689" s="17">
        <f>'№ 6 ведом'!F442</f>
        <v>3.1</v>
      </c>
      <c r="F689" s="17">
        <f>'№ 6 ведом'!G442</f>
        <v>0</v>
      </c>
    </row>
    <row r="690" spans="1:6">
      <c r="A690" s="224" t="s">
        <v>40</v>
      </c>
      <c r="B690" s="219">
        <v>2240220350</v>
      </c>
      <c r="C690" s="224" t="s">
        <v>71</v>
      </c>
      <c r="D690" s="49" t="s">
        <v>72</v>
      </c>
      <c r="E690" s="17">
        <f>E691</f>
        <v>104</v>
      </c>
      <c r="F690" s="17">
        <f>F691</f>
        <v>72</v>
      </c>
    </row>
    <row r="691" spans="1:6">
      <c r="A691" s="224" t="s">
        <v>40</v>
      </c>
      <c r="B691" s="219">
        <v>2240220350</v>
      </c>
      <c r="C691" s="224" t="s">
        <v>135</v>
      </c>
      <c r="D691" s="49" t="s">
        <v>136</v>
      </c>
      <c r="E691" s="17">
        <f>'№ 6 ведом'!F444</f>
        <v>104</v>
      </c>
      <c r="F691" s="17">
        <f>'№ 6 ведом'!G444</f>
        <v>72</v>
      </c>
    </row>
    <row r="692" spans="1:6">
      <c r="A692" s="224">
        <v>1004</v>
      </c>
      <c r="B692" s="71"/>
      <c r="C692" s="71"/>
      <c r="D692" s="49" t="s">
        <v>83</v>
      </c>
      <c r="E692" s="70">
        <f>E693+E707+E701</f>
        <v>32949.199999999997</v>
      </c>
      <c r="F692" s="70">
        <f>F693+F707+F701</f>
        <v>31906.400000000001</v>
      </c>
    </row>
    <row r="693" spans="1:6" ht="47.25">
      <c r="A693" s="224" t="s">
        <v>82</v>
      </c>
      <c r="B693" s="219">
        <v>2100000000</v>
      </c>
      <c r="C693" s="224"/>
      <c r="D693" s="225" t="s">
        <v>313</v>
      </c>
      <c r="E693" s="17">
        <f>E694</f>
        <v>9592.7000000000007</v>
      </c>
      <c r="F693" s="61">
        <f>F694</f>
        <v>8550</v>
      </c>
    </row>
    <row r="694" spans="1:6">
      <c r="A694" s="224" t="s">
        <v>82</v>
      </c>
      <c r="B694" s="224">
        <v>2110000000</v>
      </c>
      <c r="C694" s="224"/>
      <c r="D694" s="225" t="s">
        <v>159</v>
      </c>
      <c r="E694" s="17">
        <f t="shared" ref="E694:F695" si="170">E695</f>
        <v>9592.7000000000007</v>
      </c>
      <c r="F694" s="17">
        <f t="shared" si="170"/>
        <v>8550</v>
      </c>
    </row>
    <row r="695" spans="1:6" ht="47.25">
      <c r="A695" s="224" t="s">
        <v>82</v>
      </c>
      <c r="B695" s="224">
        <v>2110200000</v>
      </c>
      <c r="C695" s="224"/>
      <c r="D695" s="225" t="s">
        <v>167</v>
      </c>
      <c r="E695" s="17">
        <f>E696</f>
        <v>9592.7000000000007</v>
      </c>
      <c r="F695" s="17">
        <f t="shared" si="170"/>
        <v>8550</v>
      </c>
    </row>
    <row r="696" spans="1:6" ht="78.75">
      <c r="A696" s="224" t="s">
        <v>82</v>
      </c>
      <c r="B696" s="224">
        <v>2110210500</v>
      </c>
      <c r="C696" s="224"/>
      <c r="D696" s="225" t="s">
        <v>211</v>
      </c>
      <c r="E696" s="17">
        <f>E697+E699</f>
        <v>9592.7000000000007</v>
      </c>
      <c r="F696" s="17">
        <f>F697+F699</f>
        <v>8550</v>
      </c>
    </row>
    <row r="697" spans="1:6" ht="31.5">
      <c r="A697" s="224" t="s">
        <v>82</v>
      </c>
      <c r="B697" s="224">
        <v>2110210500</v>
      </c>
      <c r="C697" s="224" t="s">
        <v>67</v>
      </c>
      <c r="D697" s="225" t="s">
        <v>90</v>
      </c>
      <c r="E697" s="17">
        <f>E698</f>
        <v>233.9</v>
      </c>
      <c r="F697" s="17">
        <f>F698</f>
        <v>193.6</v>
      </c>
    </row>
    <row r="698" spans="1:6" ht="31.5">
      <c r="A698" s="224" t="s">
        <v>82</v>
      </c>
      <c r="B698" s="224">
        <v>2110210500</v>
      </c>
      <c r="C698" s="224">
        <v>240</v>
      </c>
      <c r="D698" s="225" t="s">
        <v>216</v>
      </c>
      <c r="E698" s="17">
        <f>'№ 6 ведом'!F865</f>
        <v>233.9</v>
      </c>
      <c r="F698" s="17">
        <f>'№ 6 ведом'!G865</f>
        <v>193.6</v>
      </c>
    </row>
    <row r="699" spans="1:6">
      <c r="A699" s="224" t="s">
        <v>82</v>
      </c>
      <c r="B699" s="224">
        <v>2110210500</v>
      </c>
      <c r="C699" s="224" t="s">
        <v>71</v>
      </c>
      <c r="D699" s="225" t="s">
        <v>72</v>
      </c>
      <c r="E699" s="17">
        <f>E700</f>
        <v>9358.8000000000011</v>
      </c>
      <c r="F699" s="17">
        <f>F700</f>
        <v>8356.4</v>
      </c>
    </row>
    <row r="700" spans="1:6" ht="31.5">
      <c r="A700" s="224" t="s">
        <v>82</v>
      </c>
      <c r="B700" s="224">
        <v>2110210500</v>
      </c>
      <c r="C700" s="1" t="s">
        <v>96</v>
      </c>
      <c r="D700" s="47" t="s">
        <v>97</v>
      </c>
      <c r="E700" s="17">
        <f>'№ 6 ведом'!F867</f>
        <v>9358.8000000000011</v>
      </c>
      <c r="F700" s="17">
        <f>'№ 6 ведом'!G867</f>
        <v>8356.4</v>
      </c>
    </row>
    <row r="701" spans="1:6" ht="47.25">
      <c r="A701" s="224">
        <v>1004</v>
      </c>
      <c r="B701" s="219">
        <v>2200000000</v>
      </c>
      <c r="C701" s="224"/>
      <c r="D701" s="225" t="s">
        <v>311</v>
      </c>
      <c r="E701" s="17">
        <f>E702</f>
        <v>8368.2000000000007</v>
      </c>
      <c r="F701" s="17">
        <f t="shared" ref="E701:F705" si="171">F702</f>
        <v>8368.2000000000007</v>
      </c>
    </row>
    <row r="702" spans="1:6" ht="31.5">
      <c r="A702" s="224">
        <v>1004</v>
      </c>
      <c r="B702" s="219">
        <v>2240000000</v>
      </c>
      <c r="C702" s="224"/>
      <c r="D702" s="225" t="s">
        <v>127</v>
      </c>
      <c r="E702" s="17">
        <f t="shared" si="171"/>
        <v>8368.2000000000007</v>
      </c>
      <c r="F702" s="17">
        <f t="shared" si="171"/>
        <v>8368.2000000000007</v>
      </c>
    </row>
    <row r="703" spans="1:6">
      <c r="A703" s="224">
        <v>1004</v>
      </c>
      <c r="B703" s="224">
        <v>2240400000</v>
      </c>
      <c r="C703" s="224"/>
      <c r="D703" s="225" t="s">
        <v>180</v>
      </c>
      <c r="E703" s="17">
        <f>E704</f>
        <v>8368.2000000000007</v>
      </c>
      <c r="F703" s="17">
        <f t="shared" si="171"/>
        <v>8368.2000000000007</v>
      </c>
    </row>
    <row r="704" spans="1:6">
      <c r="A704" s="224" t="s">
        <v>82</v>
      </c>
      <c r="B704" s="224" t="s">
        <v>304</v>
      </c>
      <c r="C704" s="224"/>
      <c r="D704" s="225" t="s">
        <v>215</v>
      </c>
      <c r="E704" s="17">
        <f t="shared" si="171"/>
        <v>8368.2000000000007</v>
      </c>
      <c r="F704" s="17">
        <f t="shared" si="171"/>
        <v>8368.2000000000007</v>
      </c>
    </row>
    <row r="705" spans="1:6">
      <c r="A705" s="224">
        <v>1004</v>
      </c>
      <c r="B705" s="224" t="s">
        <v>304</v>
      </c>
      <c r="C705" s="1" t="s">
        <v>71</v>
      </c>
      <c r="D705" s="47" t="s">
        <v>72</v>
      </c>
      <c r="E705" s="17">
        <f>E706</f>
        <v>8368.2000000000007</v>
      </c>
      <c r="F705" s="17">
        <f t="shared" si="171"/>
        <v>8368.2000000000007</v>
      </c>
    </row>
    <row r="706" spans="1:6" ht="31.5">
      <c r="A706" s="224">
        <v>1004</v>
      </c>
      <c r="B706" s="224" t="s">
        <v>304</v>
      </c>
      <c r="C706" s="1" t="s">
        <v>96</v>
      </c>
      <c r="D706" s="47" t="s">
        <v>97</v>
      </c>
      <c r="E706" s="17">
        <f>'№ 6 ведом'!F451</f>
        <v>8368.2000000000007</v>
      </c>
      <c r="F706" s="17">
        <f>'№ 6 ведом'!G451</f>
        <v>8368.2000000000007</v>
      </c>
    </row>
    <row r="707" spans="1:6" ht="47.25">
      <c r="A707" s="219" t="s">
        <v>82</v>
      </c>
      <c r="B707" s="219">
        <v>2600000000</v>
      </c>
      <c r="C707" s="219"/>
      <c r="D707" s="225" t="s">
        <v>316</v>
      </c>
      <c r="E707" s="17">
        <f>E708</f>
        <v>14988.3</v>
      </c>
      <c r="F707" s="17">
        <f t="shared" ref="E707:F708" si="172">F708</f>
        <v>14988.2</v>
      </c>
    </row>
    <row r="708" spans="1:6" ht="31.5">
      <c r="A708" s="219" t="s">
        <v>82</v>
      </c>
      <c r="B708" s="219">
        <v>2610000000</v>
      </c>
      <c r="C708" s="219"/>
      <c r="D708" s="225" t="s">
        <v>102</v>
      </c>
      <c r="E708" s="17">
        <f t="shared" si="172"/>
        <v>14988.3</v>
      </c>
      <c r="F708" s="17">
        <f t="shared" si="172"/>
        <v>14988.2</v>
      </c>
    </row>
    <row r="709" spans="1:6">
      <c r="A709" s="219" t="s">
        <v>82</v>
      </c>
      <c r="B709" s="219">
        <v>2610200000</v>
      </c>
      <c r="C709" s="219"/>
      <c r="D709" s="225" t="s">
        <v>107</v>
      </c>
      <c r="E709" s="17">
        <f>E710+E716+E713</f>
        <v>14988.3</v>
      </c>
      <c r="F709" s="17">
        <f>F710+F716+F713</f>
        <v>14988.2</v>
      </c>
    </row>
    <row r="710" spans="1:6" ht="63">
      <c r="A710" s="219" t="s">
        <v>82</v>
      </c>
      <c r="B710" s="219">
        <v>2610210820</v>
      </c>
      <c r="C710" s="219"/>
      <c r="D710" s="225" t="s">
        <v>213</v>
      </c>
      <c r="E710" s="17">
        <f t="shared" ref="E710:F711" si="173">E711</f>
        <v>8006</v>
      </c>
      <c r="F710" s="17">
        <f t="shared" si="173"/>
        <v>8005.9</v>
      </c>
    </row>
    <row r="711" spans="1:6" ht="31.5">
      <c r="A711" s="219" t="s">
        <v>82</v>
      </c>
      <c r="B711" s="219">
        <v>2610210820</v>
      </c>
      <c r="C711" s="219" t="s">
        <v>70</v>
      </c>
      <c r="D711" s="225" t="s">
        <v>91</v>
      </c>
      <c r="E711" s="17">
        <f>E712</f>
        <v>8006</v>
      </c>
      <c r="F711" s="17">
        <f t="shared" si="173"/>
        <v>8005.9</v>
      </c>
    </row>
    <row r="712" spans="1:6">
      <c r="A712" s="219" t="s">
        <v>82</v>
      </c>
      <c r="B712" s="219">
        <v>2610210820</v>
      </c>
      <c r="C712" s="219" t="s">
        <v>114</v>
      </c>
      <c r="D712" s="225" t="s">
        <v>115</v>
      </c>
      <c r="E712" s="17">
        <f>'№ 6 ведом'!F615</f>
        <v>8006</v>
      </c>
      <c r="F712" s="17">
        <f>'№ 6 ведом'!G615</f>
        <v>8005.9</v>
      </c>
    </row>
    <row r="713" spans="1:6" ht="47.25">
      <c r="A713" s="219" t="s">
        <v>82</v>
      </c>
      <c r="B713" s="219">
        <v>2610210290</v>
      </c>
      <c r="C713" s="219"/>
      <c r="D713" s="56" t="s">
        <v>371</v>
      </c>
      <c r="E713" s="17">
        <f>E714</f>
        <v>5585.7999999999993</v>
      </c>
      <c r="F713" s="17">
        <f t="shared" ref="F713:F714" si="174">F714</f>
        <v>5585.8</v>
      </c>
    </row>
    <row r="714" spans="1:6" ht="31.5">
      <c r="A714" s="219" t="s">
        <v>82</v>
      </c>
      <c r="B714" s="219">
        <v>2610210290</v>
      </c>
      <c r="C714" s="219" t="s">
        <v>70</v>
      </c>
      <c r="D714" s="56" t="s">
        <v>91</v>
      </c>
      <c r="E714" s="17">
        <f>E715</f>
        <v>5585.7999999999993</v>
      </c>
      <c r="F714" s="17">
        <f t="shared" si="174"/>
        <v>5585.8</v>
      </c>
    </row>
    <row r="715" spans="1:6">
      <c r="A715" s="219" t="s">
        <v>82</v>
      </c>
      <c r="B715" s="219">
        <v>2610210290</v>
      </c>
      <c r="C715" s="219" t="s">
        <v>114</v>
      </c>
      <c r="D715" s="56" t="s">
        <v>115</v>
      </c>
      <c r="E715" s="17">
        <f>'№ 6 ведом'!F618</f>
        <v>5585.7999999999993</v>
      </c>
      <c r="F715" s="17">
        <f>'№ 6 ведом'!G618</f>
        <v>5585.8</v>
      </c>
    </row>
    <row r="716" spans="1:6" ht="47.25">
      <c r="A716" s="219" t="s">
        <v>82</v>
      </c>
      <c r="B716" s="219" t="s">
        <v>350</v>
      </c>
      <c r="C716" s="109"/>
      <c r="D716" s="56" t="s">
        <v>351</v>
      </c>
      <c r="E716" s="17">
        <f>E717</f>
        <v>1396.5</v>
      </c>
      <c r="F716" s="17">
        <f t="shared" ref="F716:F717" si="175">F717</f>
        <v>1396.5</v>
      </c>
    </row>
    <row r="717" spans="1:6" ht="31.5">
      <c r="A717" s="219" t="s">
        <v>82</v>
      </c>
      <c r="B717" s="219" t="s">
        <v>350</v>
      </c>
      <c r="C717" s="109" t="s">
        <v>70</v>
      </c>
      <c r="D717" s="56" t="s">
        <v>91</v>
      </c>
      <c r="E717" s="17">
        <f>E718</f>
        <v>1396.5</v>
      </c>
      <c r="F717" s="17">
        <f t="shared" si="175"/>
        <v>1396.5</v>
      </c>
    </row>
    <row r="718" spans="1:6">
      <c r="A718" s="219" t="s">
        <v>82</v>
      </c>
      <c r="B718" s="219" t="s">
        <v>350</v>
      </c>
      <c r="C718" s="109" t="s">
        <v>114</v>
      </c>
      <c r="D718" s="56" t="s">
        <v>115</v>
      </c>
      <c r="E718" s="17">
        <f>'№ 6 ведом'!F621</f>
        <v>1396.5</v>
      </c>
      <c r="F718" s="17">
        <f>'№ 6 ведом'!G621</f>
        <v>1396.5</v>
      </c>
    </row>
    <row r="719" spans="1:6">
      <c r="A719" s="4" t="s">
        <v>59</v>
      </c>
      <c r="B719" s="4" t="s">
        <v>64</v>
      </c>
      <c r="C719" s="79" t="s">
        <v>64</v>
      </c>
      <c r="D719" s="19" t="s">
        <v>30</v>
      </c>
      <c r="E719" s="60">
        <f>E720+E760</f>
        <v>40400.5</v>
      </c>
      <c r="F719" s="60">
        <f>F720+F760</f>
        <v>40293.9</v>
      </c>
    </row>
    <row r="720" spans="1:6">
      <c r="A720" s="224" t="s">
        <v>84</v>
      </c>
      <c r="B720" s="224" t="s">
        <v>64</v>
      </c>
      <c r="C720" s="78" t="s">
        <v>64</v>
      </c>
      <c r="D720" s="225" t="s">
        <v>60</v>
      </c>
      <c r="E720" s="17">
        <f>E721+E746</f>
        <v>15859.7</v>
      </c>
      <c r="F720" s="17">
        <f>F721+F746</f>
        <v>15836.2</v>
      </c>
    </row>
    <row r="721" spans="1:6" ht="47.25">
      <c r="A721" s="224" t="s">
        <v>84</v>
      </c>
      <c r="B721" s="219">
        <v>2200000000</v>
      </c>
      <c r="C721" s="224"/>
      <c r="D721" s="225" t="s">
        <v>311</v>
      </c>
      <c r="E721" s="17">
        <f>E722</f>
        <v>15612.2</v>
      </c>
      <c r="F721" s="17">
        <f>F722</f>
        <v>15589.2</v>
      </c>
    </row>
    <row r="722" spans="1:6">
      <c r="A722" s="224" t="s">
        <v>84</v>
      </c>
      <c r="B722" s="224">
        <v>2230000000</v>
      </c>
      <c r="C722" s="224"/>
      <c r="D722" s="225" t="s">
        <v>184</v>
      </c>
      <c r="E722" s="17">
        <f>E723+E727+E731</f>
        <v>15612.2</v>
      </c>
      <c r="F722" s="17">
        <f t="shared" ref="F722" si="176">F723+F727+F731</f>
        <v>15589.2</v>
      </c>
    </row>
    <row r="723" spans="1:6" ht="31.5">
      <c r="A723" s="224" t="s">
        <v>84</v>
      </c>
      <c r="B723" s="224">
        <v>2230100000</v>
      </c>
      <c r="C723" s="224"/>
      <c r="D723" s="225" t="s">
        <v>185</v>
      </c>
      <c r="E723" s="17">
        <f t="shared" ref="E723:F725" si="177">E724</f>
        <v>13968.300000000001</v>
      </c>
      <c r="F723" s="17">
        <f t="shared" si="177"/>
        <v>13968.3</v>
      </c>
    </row>
    <row r="724" spans="1:6" ht="31.5">
      <c r="A724" s="2" t="s">
        <v>84</v>
      </c>
      <c r="B724" s="224">
        <v>2230120010</v>
      </c>
      <c r="C724" s="224"/>
      <c r="D724" s="225" t="s">
        <v>118</v>
      </c>
      <c r="E724" s="17">
        <f t="shared" si="177"/>
        <v>13968.300000000001</v>
      </c>
      <c r="F724" s="17">
        <f t="shared" si="177"/>
        <v>13968.3</v>
      </c>
    </row>
    <row r="725" spans="1:6" ht="31.5">
      <c r="A725" s="2" t="s">
        <v>84</v>
      </c>
      <c r="B725" s="224">
        <v>2230120010</v>
      </c>
      <c r="C725" s="219" t="s">
        <v>92</v>
      </c>
      <c r="D725" s="225" t="s">
        <v>93</v>
      </c>
      <c r="E725" s="17">
        <f t="shared" si="177"/>
        <v>13968.300000000001</v>
      </c>
      <c r="F725" s="17">
        <f t="shared" si="177"/>
        <v>13968.3</v>
      </c>
    </row>
    <row r="726" spans="1:6">
      <c r="A726" s="224" t="s">
        <v>84</v>
      </c>
      <c r="B726" s="224">
        <v>2230120010</v>
      </c>
      <c r="C726" s="224">
        <v>610</v>
      </c>
      <c r="D726" s="225" t="s">
        <v>99</v>
      </c>
      <c r="E726" s="17">
        <f>'№ 6 ведом'!F459</f>
        <v>13968.300000000001</v>
      </c>
      <c r="F726" s="17">
        <f>'№ 6 ведом'!G459</f>
        <v>13968.3</v>
      </c>
    </row>
    <row r="727" spans="1:6" ht="63">
      <c r="A727" s="224" t="s">
        <v>84</v>
      </c>
      <c r="B727" s="224">
        <v>2230200000</v>
      </c>
      <c r="C727" s="224"/>
      <c r="D727" s="225" t="s">
        <v>186</v>
      </c>
      <c r="E727" s="17">
        <f t="shared" ref="E727:F729" si="178">E728</f>
        <v>367.8</v>
      </c>
      <c r="F727" s="17">
        <f t="shared" si="178"/>
        <v>367.2</v>
      </c>
    </row>
    <row r="728" spans="1:6">
      <c r="A728" s="224" t="s">
        <v>84</v>
      </c>
      <c r="B728" s="224">
        <v>2230220040</v>
      </c>
      <c r="C728" s="224"/>
      <c r="D728" s="225" t="s">
        <v>187</v>
      </c>
      <c r="E728" s="17">
        <f>E729</f>
        <v>367.8</v>
      </c>
      <c r="F728" s="17">
        <f t="shared" si="178"/>
        <v>367.2</v>
      </c>
    </row>
    <row r="729" spans="1:6" ht="31.5">
      <c r="A729" s="224" t="s">
        <v>84</v>
      </c>
      <c r="B729" s="224">
        <v>2230220040</v>
      </c>
      <c r="C729" s="219" t="s">
        <v>92</v>
      </c>
      <c r="D729" s="225" t="s">
        <v>93</v>
      </c>
      <c r="E729" s="17">
        <f t="shared" si="178"/>
        <v>367.8</v>
      </c>
      <c r="F729" s="17">
        <f t="shared" si="178"/>
        <v>367.2</v>
      </c>
    </row>
    <row r="730" spans="1:6">
      <c r="A730" s="224" t="s">
        <v>84</v>
      </c>
      <c r="B730" s="224">
        <v>2230220040</v>
      </c>
      <c r="C730" s="224">
        <v>610</v>
      </c>
      <c r="D730" s="225" t="s">
        <v>99</v>
      </c>
      <c r="E730" s="17">
        <f>'№ 6 ведом'!F463</f>
        <v>367.8</v>
      </c>
      <c r="F730" s="17">
        <f>'№ 6 ведом'!G463</f>
        <v>367.2</v>
      </c>
    </row>
    <row r="731" spans="1:6" ht="31.5">
      <c r="A731" s="224" t="s">
        <v>84</v>
      </c>
      <c r="B731" s="224">
        <v>2230300000</v>
      </c>
      <c r="C731" s="224"/>
      <c r="D731" s="225" t="s">
        <v>188</v>
      </c>
      <c r="E731" s="17">
        <f>E732+E739</f>
        <v>1276.0999999999999</v>
      </c>
      <c r="F731" s="17">
        <f>F732+F739</f>
        <v>1253.7</v>
      </c>
    </row>
    <row r="732" spans="1:6" ht="31.5">
      <c r="A732" s="224" t="s">
        <v>84</v>
      </c>
      <c r="B732" s="224">
        <v>2230320300</v>
      </c>
      <c r="C732" s="224"/>
      <c r="D732" s="225" t="s">
        <v>189</v>
      </c>
      <c r="E732" s="17">
        <f>E733+E735+E737</f>
        <v>537.59999999999991</v>
      </c>
      <c r="F732" s="17">
        <f>F733+F735+F737</f>
        <v>535.70000000000005</v>
      </c>
    </row>
    <row r="733" spans="1:6" ht="63">
      <c r="A733" s="224" t="s">
        <v>84</v>
      </c>
      <c r="B733" s="224">
        <v>2230320300</v>
      </c>
      <c r="C733" s="219" t="s">
        <v>66</v>
      </c>
      <c r="D733" s="225" t="s">
        <v>1</v>
      </c>
      <c r="E733" s="17">
        <f>E734</f>
        <v>108.9</v>
      </c>
      <c r="F733" s="17">
        <f>F734</f>
        <v>107</v>
      </c>
    </row>
    <row r="734" spans="1:6" ht="31.5">
      <c r="A734" s="224" t="s">
        <v>84</v>
      </c>
      <c r="B734" s="224">
        <v>2230320300</v>
      </c>
      <c r="C734" s="224">
        <v>120</v>
      </c>
      <c r="D734" s="225" t="s">
        <v>217</v>
      </c>
      <c r="E734" s="17">
        <f>'№ 6 ведом'!F467</f>
        <v>108.9</v>
      </c>
      <c r="F734" s="17">
        <f>'№ 6 ведом'!G467</f>
        <v>107</v>
      </c>
    </row>
    <row r="735" spans="1:6" ht="31.5">
      <c r="A735" s="224" t="s">
        <v>84</v>
      </c>
      <c r="B735" s="224">
        <v>2230320300</v>
      </c>
      <c r="C735" s="219" t="s">
        <v>67</v>
      </c>
      <c r="D735" s="225" t="s">
        <v>90</v>
      </c>
      <c r="E735" s="17">
        <f>E736</f>
        <v>297.5</v>
      </c>
      <c r="F735" s="17">
        <f>F736</f>
        <v>297.5</v>
      </c>
    </row>
    <row r="736" spans="1:6" ht="31.5">
      <c r="A736" s="224" t="s">
        <v>84</v>
      </c>
      <c r="B736" s="224">
        <v>2230320300</v>
      </c>
      <c r="C736" s="224">
        <v>240</v>
      </c>
      <c r="D736" s="225" t="s">
        <v>216</v>
      </c>
      <c r="E736" s="17">
        <f>'№ 6 ведом'!F469</f>
        <v>297.5</v>
      </c>
      <c r="F736" s="17">
        <f>'№ 6 ведом'!G469</f>
        <v>297.5</v>
      </c>
    </row>
    <row r="737" spans="1:6">
      <c r="A737" s="224" t="s">
        <v>84</v>
      </c>
      <c r="B737" s="224">
        <v>2230320300</v>
      </c>
      <c r="C737" s="224" t="s">
        <v>68</v>
      </c>
      <c r="D737" s="225" t="s">
        <v>69</v>
      </c>
      <c r="E737" s="17">
        <f>E738</f>
        <v>131.19999999999999</v>
      </c>
      <c r="F737" s="17">
        <f>F738</f>
        <v>131.19999999999999</v>
      </c>
    </row>
    <row r="738" spans="1:6">
      <c r="A738" s="224" t="s">
        <v>84</v>
      </c>
      <c r="B738" s="224">
        <v>2230320300</v>
      </c>
      <c r="C738" s="224">
        <v>850</v>
      </c>
      <c r="D738" s="225" t="s">
        <v>95</v>
      </c>
      <c r="E738" s="17">
        <f>'№ 6 ведом'!F471</f>
        <v>131.19999999999999</v>
      </c>
      <c r="F738" s="17">
        <f>'№ 6 ведом'!G471</f>
        <v>131.19999999999999</v>
      </c>
    </row>
    <row r="739" spans="1:6">
      <c r="A739" s="224" t="s">
        <v>84</v>
      </c>
      <c r="B739" s="224">
        <v>2230320320</v>
      </c>
      <c r="C739" s="224"/>
      <c r="D739" s="225" t="s">
        <v>134</v>
      </c>
      <c r="E739" s="17">
        <f>E740+E742+E744</f>
        <v>738.5</v>
      </c>
      <c r="F739" s="17">
        <f>F740+F742+F744</f>
        <v>718</v>
      </c>
    </row>
    <row r="740" spans="1:6" ht="63">
      <c r="A740" s="224" t="s">
        <v>84</v>
      </c>
      <c r="B740" s="224">
        <v>2230320320</v>
      </c>
      <c r="C740" s="219" t="s">
        <v>66</v>
      </c>
      <c r="D740" s="225" t="s">
        <v>1</v>
      </c>
      <c r="E740" s="17">
        <f>E741</f>
        <v>278.39999999999998</v>
      </c>
      <c r="F740" s="17">
        <f>F741</f>
        <v>278.39999999999998</v>
      </c>
    </row>
    <row r="741" spans="1:6" ht="31.5">
      <c r="A741" s="224" t="s">
        <v>84</v>
      </c>
      <c r="B741" s="224">
        <v>2230320320</v>
      </c>
      <c r="C741" s="224">
        <v>120</v>
      </c>
      <c r="D741" s="225" t="s">
        <v>217</v>
      </c>
      <c r="E741" s="17">
        <f>'№ 6 ведом'!F474</f>
        <v>278.39999999999998</v>
      </c>
      <c r="F741" s="17">
        <f>'№ 6 ведом'!G474</f>
        <v>278.39999999999998</v>
      </c>
    </row>
    <row r="742" spans="1:6" ht="31.5">
      <c r="A742" s="224" t="s">
        <v>84</v>
      </c>
      <c r="B742" s="224">
        <v>2230320320</v>
      </c>
      <c r="C742" s="219" t="s">
        <v>67</v>
      </c>
      <c r="D742" s="225" t="s">
        <v>90</v>
      </c>
      <c r="E742" s="17">
        <f>E743</f>
        <v>169.1</v>
      </c>
      <c r="F742" s="17">
        <f>F743</f>
        <v>169.1</v>
      </c>
    </row>
    <row r="743" spans="1:6" ht="31.5">
      <c r="A743" s="224" t="s">
        <v>84</v>
      </c>
      <c r="B743" s="224">
        <v>2230320320</v>
      </c>
      <c r="C743" s="224">
        <v>240</v>
      </c>
      <c r="D743" s="225" t="s">
        <v>216</v>
      </c>
      <c r="E743" s="17">
        <f>'№ 6 ведом'!F476</f>
        <v>169.1</v>
      </c>
      <c r="F743" s="17">
        <f>'№ 6 ведом'!G476</f>
        <v>169.1</v>
      </c>
    </row>
    <row r="744" spans="1:6" ht="31.5">
      <c r="A744" s="224" t="s">
        <v>84</v>
      </c>
      <c r="B744" s="224">
        <v>2230320320</v>
      </c>
      <c r="C744" s="219" t="s">
        <v>92</v>
      </c>
      <c r="D744" s="225" t="s">
        <v>93</v>
      </c>
      <c r="E744" s="17">
        <f>E745</f>
        <v>291</v>
      </c>
      <c r="F744" s="17">
        <f>F745</f>
        <v>270.5</v>
      </c>
    </row>
    <row r="745" spans="1:6">
      <c r="A745" s="224" t="s">
        <v>84</v>
      </c>
      <c r="B745" s="224">
        <v>2230320320</v>
      </c>
      <c r="C745" s="224">
        <v>610</v>
      </c>
      <c r="D745" s="225" t="s">
        <v>99</v>
      </c>
      <c r="E745" s="17">
        <f>'№ 6 ведом'!F478</f>
        <v>291</v>
      </c>
      <c r="F745" s="17">
        <f>'№ 6 ведом'!G478</f>
        <v>270.5</v>
      </c>
    </row>
    <row r="746" spans="1:6" ht="31.5">
      <c r="A746" s="224" t="s">
        <v>84</v>
      </c>
      <c r="B746" s="219">
        <v>2500000000</v>
      </c>
      <c r="C746" s="224"/>
      <c r="D746" s="225" t="s">
        <v>312</v>
      </c>
      <c r="E746" s="17">
        <f>E747</f>
        <v>247.5</v>
      </c>
      <c r="F746" s="17">
        <f t="shared" ref="F746:F750" si="179">F747</f>
        <v>247</v>
      </c>
    </row>
    <row r="747" spans="1:6" ht="31.5">
      <c r="A747" s="224" t="s">
        <v>84</v>
      </c>
      <c r="B747" s="219">
        <v>2520000000</v>
      </c>
      <c r="C747" s="224"/>
      <c r="D747" s="225" t="s">
        <v>241</v>
      </c>
      <c r="E747" s="17">
        <f>E748+E752+E756</f>
        <v>247.5</v>
      </c>
      <c r="F747" s="17">
        <f t="shared" ref="F747" si="180">F748+F752+F756</f>
        <v>247</v>
      </c>
    </row>
    <row r="748" spans="1:6" ht="31.5">
      <c r="A748" s="224" t="s">
        <v>84</v>
      </c>
      <c r="B748" s="219">
        <v>2520400000</v>
      </c>
      <c r="C748" s="224"/>
      <c r="D748" s="56" t="s">
        <v>330</v>
      </c>
      <c r="E748" s="17">
        <f>E749</f>
        <v>130</v>
      </c>
      <c r="F748" s="17">
        <f t="shared" si="179"/>
        <v>129.5</v>
      </c>
    </row>
    <row r="749" spans="1:6">
      <c r="A749" s="224" t="s">
        <v>84</v>
      </c>
      <c r="B749" s="219">
        <v>2520420300</v>
      </c>
      <c r="C749" s="224"/>
      <c r="D749" s="56" t="s">
        <v>331</v>
      </c>
      <c r="E749" s="17">
        <f>E750</f>
        <v>130</v>
      </c>
      <c r="F749" s="17">
        <f t="shared" si="179"/>
        <v>129.5</v>
      </c>
    </row>
    <row r="750" spans="1:6" ht="31.5">
      <c r="A750" s="224" t="s">
        <v>84</v>
      </c>
      <c r="B750" s="219">
        <v>2520420300</v>
      </c>
      <c r="C750" s="219" t="s">
        <v>92</v>
      </c>
      <c r="D750" s="56" t="s">
        <v>93</v>
      </c>
      <c r="E750" s="17">
        <f>E751</f>
        <v>130</v>
      </c>
      <c r="F750" s="17">
        <f t="shared" si="179"/>
        <v>129.5</v>
      </c>
    </row>
    <row r="751" spans="1:6">
      <c r="A751" s="224" t="s">
        <v>84</v>
      </c>
      <c r="B751" s="219">
        <v>2520420300</v>
      </c>
      <c r="C751" s="224">
        <v>610</v>
      </c>
      <c r="D751" s="56" t="s">
        <v>99</v>
      </c>
      <c r="E751" s="17">
        <f>'№ 6 ведом'!F484</f>
        <v>130</v>
      </c>
      <c r="F751" s="17">
        <f>'№ 6 ведом'!G484</f>
        <v>129.5</v>
      </c>
    </row>
    <row r="752" spans="1:6" ht="31.5">
      <c r="A752" s="224" t="s">
        <v>84</v>
      </c>
      <c r="B752" s="219">
        <v>2520500000</v>
      </c>
      <c r="C752" s="224"/>
      <c r="D752" s="225" t="s">
        <v>341</v>
      </c>
      <c r="E752" s="17">
        <f>E753</f>
        <v>73</v>
      </c>
      <c r="F752" s="17">
        <f t="shared" ref="F752:F754" si="181">F753</f>
        <v>73</v>
      </c>
    </row>
    <row r="753" spans="1:6">
      <c r="A753" s="224" t="s">
        <v>84</v>
      </c>
      <c r="B753" s="219">
        <v>2520520300</v>
      </c>
      <c r="C753" s="224"/>
      <c r="D753" s="225" t="s">
        <v>342</v>
      </c>
      <c r="E753" s="17">
        <f>E754</f>
        <v>73</v>
      </c>
      <c r="F753" s="17">
        <f t="shared" si="181"/>
        <v>73</v>
      </c>
    </row>
    <row r="754" spans="1:6" ht="31.5">
      <c r="A754" s="224" t="s">
        <v>84</v>
      </c>
      <c r="B754" s="219">
        <v>2520520300</v>
      </c>
      <c r="C754" s="219" t="s">
        <v>92</v>
      </c>
      <c r="D754" s="56" t="s">
        <v>93</v>
      </c>
      <c r="E754" s="17">
        <f>E755</f>
        <v>73</v>
      </c>
      <c r="F754" s="17">
        <f t="shared" si="181"/>
        <v>73</v>
      </c>
    </row>
    <row r="755" spans="1:6">
      <c r="A755" s="224" t="s">
        <v>84</v>
      </c>
      <c r="B755" s="219">
        <v>2520520300</v>
      </c>
      <c r="C755" s="224">
        <v>610</v>
      </c>
      <c r="D755" s="56" t="s">
        <v>99</v>
      </c>
      <c r="E755" s="17">
        <f>'№ 6 ведом'!F488</f>
        <v>73</v>
      </c>
      <c r="F755" s="17">
        <f>'№ 6 ведом'!G488</f>
        <v>73</v>
      </c>
    </row>
    <row r="756" spans="1:6" ht="31.5">
      <c r="A756" s="224" t="s">
        <v>84</v>
      </c>
      <c r="B756" s="219">
        <v>2520600000</v>
      </c>
      <c r="C756" s="224"/>
      <c r="D756" s="225" t="s">
        <v>340</v>
      </c>
      <c r="E756" s="17">
        <f>E757</f>
        <v>44.5</v>
      </c>
      <c r="F756" s="17">
        <f t="shared" ref="F756:F758" si="182">F757</f>
        <v>44.5</v>
      </c>
    </row>
    <row r="757" spans="1:6">
      <c r="A757" s="224" t="s">
        <v>84</v>
      </c>
      <c r="B757" s="219">
        <v>2520620200</v>
      </c>
      <c r="C757" s="224"/>
      <c r="D757" s="225" t="s">
        <v>275</v>
      </c>
      <c r="E757" s="17">
        <f>E758</f>
        <v>44.5</v>
      </c>
      <c r="F757" s="17">
        <f t="shared" si="182"/>
        <v>44.5</v>
      </c>
    </row>
    <row r="758" spans="1:6" ht="31.5">
      <c r="A758" s="224" t="s">
        <v>84</v>
      </c>
      <c r="B758" s="219">
        <v>2520620200</v>
      </c>
      <c r="C758" s="219" t="s">
        <v>92</v>
      </c>
      <c r="D758" s="56" t="s">
        <v>93</v>
      </c>
      <c r="E758" s="17">
        <f>E759</f>
        <v>44.5</v>
      </c>
      <c r="F758" s="17">
        <f t="shared" si="182"/>
        <v>44.5</v>
      </c>
    </row>
    <row r="759" spans="1:6">
      <c r="A759" s="224" t="s">
        <v>84</v>
      </c>
      <c r="B759" s="219">
        <v>2520620200</v>
      </c>
      <c r="C759" s="224">
        <v>610</v>
      </c>
      <c r="D759" s="56" t="s">
        <v>99</v>
      </c>
      <c r="E759" s="17">
        <f>'№ 6 ведом'!F492</f>
        <v>44.5</v>
      </c>
      <c r="F759" s="17">
        <f>'№ 6 ведом'!G492</f>
        <v>44.5</v>
      </c>
    </row>
    <row r="760" spans="1:6">
      <c r="A760" s="224">
        <v>1103</v>
      </c>
      <c r="B760" s="224" t="s">
        <v>64</v>
      </c>
      <c r="C760" s="224" t="s">
        <v>64</v>
      </c>
      <c r="D760" s="225" t="s">
        <v>245</v>
      </c>
      <c r="E760" s="17">
        <f>E761+E780</f>
        <v>24540.799999999999</v>
      </c>
      <c r="F760" s="17">
        <f>F761+F780</f>
        <v>24457.7</v>
      </c>
    </row>
    <row r="761" spans="1:6" ht="47.25">
      <c r="A761" s="224">
        <v>1103</v>
      </c>
      <c r="B761" s="219">
        <v>2200000000</v>
      </c>
      <c r="C761" s="224"/>
      <c r="D761" s="225" t="s">
        <v>311</v>
      </c>
      <c r="E761" s="17">
        <f>E762</f>
        <v>23104.6</v>
      </c>
      <c r="F761" s="17">
        <f>F762</f>
        <v>23037</v>
      </c>
    </row>
    <row r="762" spans="1:6" ht="31.5">
      <c r="A762" s="224">
        <v>1103</v>
      </c>
      <c r="B762" s="224">
        <v>2250000000</v>
      </c>
      <c r="C762" s="224"/>
      <c r="D762" s="225" t="s">
        <v>246</v>
      </c>
      <c r="E762" s="17">
        <f>E763+E773</f>
        <v>23104.6</v>
      </c>
      <c r="F762" s="17">
        <f>F763+F773</f>
        <v>23037</v>
      </c>
    </row>
    <row r="763" spans="1:6" ht="47.25">
      <c r="A763" s="224">
        <v>1103</v>
      </c>
      <c r="B763" s="224">
        <v>2250100000</v>
      </c>
      <c r="C763" s="224"/>
      <c r="D763" s="225" t="s">
        <v>247</v>
      </c>
      <c r="E763" s="17">
        <f>E767+E764+E770</f>
        <v>17637.999999999996</v>
      </c>
      <c r="F763" s="17">
        <f t="shared" ref="F763" si="183">F767+F764+F770</f>
        <v>17570.399999999998</v>
      </c>
    </row>
    <row r="764" spans="1:6" ht="63">
      <c r="A764" s="224">
        <v>1103</v>
      </c>
      <c r="B764" s="224">
        <v>2250111430</v>
      </c>
      <c r="C764" s="224"/>
      <c r="D764" s="42" t="s">
        <v>406</v>
      </c>
      <c r="E764" s="17">
        <f>E765</f>
        <v>311.60000000000002</v>
      </c>
      <c r="F764" s="17">
        <f t="shared" ref="F764:F765" si="184">F765</f>
        <v>244.6</v>
      </c>
    </row>
    <row r="765" spans="1:6" ht="31.5">
      <c r="A765" s="224">
        <v>1103</v>
      </c>
      <c r="B765" s="224">
        <v>2250111430</v>
      </c>
      <c r="C765" s="219" t="s">
        <v>92</v>
      </c>
      <c r="D765" s="225" t="s">
        <v>93</v>
      </c>
      <c r="E765" s="17">
        <f>E766</f>
        <v>311.60000000000002</v>
      </c>
      <c r="F765" s="17">
        <f t="shared" si="184"/>
        <v>244.6</v>
      </c>
    </row>
    <row r="766" spans="1:6">
      <c r="A766" s="224">
        <v>1103</v>
      </c>
      <c r="B766" s="224">
        <v>2250111430</v>
      </c>
      <c r="C766" s="224">
        <v>610</v>
      </c>
      <c r="D766" s="225" t="s">
        <v>99</v>
      </c>
      <c r="E766" s="17">
        <f>'№ 6 ведом'!F499</f>
        <v>311.60000000000002</v>
      </c>
      <c r="F766" s="17">
        <f>'№ 6 ведом'!G499</f>
        <v>244.6</v>
      </c>
    </row>
    <row r="767" spans="1:6" ht="31.5">
      <c r="A767" s="224">
        <v>1103</v>
      </c>
      <c r="B767" s="224">
        <v>2250120010</v>
      </c>
      <c r="C767" s="224"/>
      <c r="D767" s="225" t="s">
        <v>118</v>
      </c>
      <c r="E767" s="17">
        <f t="shared" ref="E767:F768" si="185">E768</f>
        <v>17323.3</v>
      </c>
      <c r="F767" s="17">
        <f t="shared" si="185"/>
        <v>17323.3</v>
      </c>
    </row>
    <row r="768" spans="1:6" ht="31.5">
      <c r="A768" s="224">
        <v>1103</v>
      </c>
      <c r="B768" s="224">
        <v>2250120010</v>
      </c>
      <c r="C768" s="219" t="s">
        <v>92</v>
      </c>
      <c r="D768" s="225" t="s">
        <v>93</v>
      </c>
      <c r="E768" s="17">
        <f t="shared" si="185"/>
        <v>17323.3</v>
      </c>
      <c r="F768" s="17">
        <f t="shared" si="185"/>
        <v>17323.3</v>
      </c>
    </row>
    <row r="769" spans="1:6">
      <c r="A769" s="224">
        <v>1103</v>
      </c>
      <c r="B769" s="224">
        <v>2250120010</v>
      </c>
      <c r="C769" s="224">
        <v>610</v>
      </c>
      <c r="D769" s="225" t="s">
        <v>99</v>
      </c>
      <c r="E769" s="17">
        <f>'№ 6 ведом'!F502</f>
        <v>17323.3</v>
      </c>
      <c r="F769" s="17">
        <f>'№ 6 ведом'!G502</f>
        <v>17323.3</v>
      </c>
    </row>
    <row r="770" spans="1:6" ht="63">
      <c r="A770" s="224">
        <v>1103</v>
      </c>
      <c r="B770" s="224" t="s">
        <v>407</v>
      </c>
      <c r="C770" s="224"/>
      <c r="D770" s="42" t="s">
        <v>408</v>
      </c>
      <c r="E770" s="17">
        <f>E771</f>
        <v>3.1</v>
      </c>
      <c r="F770" s="17">
        <f t="shared" ref="F770:F771" si="186">F771</f>
        <v>2.5</v>
      </c>
    </row>
    <row r="771" spans="1:6" ht="31.5">
      <c r="A771" s="224">
        <v>1103</v>
      </c>
      <c r="B771" s="224" t="s">
        <v>407</v>
      </c>
      <c r="C771" s="219" t="s">
        <v>92</v>
      </c>
      <c r="D771" s="225" t="s">
        <v>93</v>
      </c>
      <c r="E771" s="17">
        <f>E772</f>
        <v>3.1</v>
      </c>
      <c r="F771" s="17">
        <f t="shared" si="186"/>
        <v>2.5</v>
      </c>
    </row>
    <row r="772" spans="1:6">
      <c r="A772" s="224">
        <v>1103</v>
      </c>
      <c r="B772" s="224" t="s">
        <v>407</v>
      </c>
      <c r="C772" s="224">
        <v>610</v>
      </c>
      <c r="D772" s="225" t="s">
        <v>99</v>
      </c>
      <c r="E772" s="17">
        <f>'№ 6 ведом'!F505</f>
        <v>3.1</v>
      </c>
      <c r="F772" s="17">
        <f>'№ 6 ведом'!G505</f>
        <v>2.5</v>
      </c>
    </row>
    <row r="773" spans="1:6" ht="47.25">
      <c r="A773" s="224">
        <v>1103</v>
      </c>
      <c r="B773" s="224">
        <v>2250200000</v>
      </c>
      <c r="C773" s="224"/>
      <c r="D773" s="225" t="s">
        <v>349</v>
      </c>
      <c r="E773" s="17">
        <f>E777+E774</f>
        <v>5466.6</v>
      </c>
      <c r="F773" s="17">
        <f t="shared" ref="F773" si="187">F777+F774</f>
        <v>5466.6</v>
      </c>
    </row>
    <row r="774" spans="1:6" ht="78.75">
      <c r="A774" s="224">
        <v>1103</v>
      </c>
      <c r="B774" s="11">
        <v>2250210480</v>
      </c>
      <c r="C774" s="224"/>
      <c r="D774" s="8" t="s">
        <v>369</v>
      </c>
      <c r="E774" s="17">
        <f>E775</f>
        <v>2733.3</v>
      </c>
      <c r="F774" s="17">
        <f t="shared" ref="F774:F775" si="188">F775</f>
        <v>2733.3</v>
      </c>
    </row>
    <row r="775" spans="1:6" ht="31.5">
      <c r="A775" s="224">
        <v>1103</v>
      </c>
      <c r="B775" s="11">
        <v>2250210480</v>
      </c>
      <c r="C775" s="219" t="s">
        <v>92</v>
      </c>
      <c r="D775" s="225" t="s">
        <v>93</v>
      </c>
      <c r="E775" s="17">
        <f>E776</f>
        <v>2733.3</v>
      </c>
      <c r="F775" s="17">
        <f t="shared" si="188"/>
        <v>2733.3</v>
      </c>
    </row>
    <row r="776" spans="1:6">
      <c r="A776" s="224">
        <v>1103</v>
      </c>
      <c r="B776" s="11">
        <v>2250210480</v>
      </c>
      <c r="C776" s="224">
        <v>610</v>
      </c>
      <c r="D776" s="225" t="s">
        <v>99</v>
      </c>
      <c r="E776" s="17">
        <f>'№ 6 ведом'!F509</f>
        <v>2733.3</v>
      </c>
      <c r="F776" s="17">
        <f>'№ 6 ведом'!G509</f>
        <v>2733.3</v>
      </c>
    </row>
    <row r="777" spans="1:6" ht="78.75">
      <c r="A777" s="224">
        <v>1103</v>
      </c>
      <c r="B777" s="11" t="s">
        <v>339</v>
      </c>
      <c r="C777" s="224"/>
      <c r="D777" s="8" t="s">
        <v>288</v>
      </c>
      <c r="E777" s="17">
        <f>E778</f>
        <v>2733.3</v>
      </c>
      <c r="F777" s="17">
        <f t="shared" ref="F777:F778" si="189">F778</f>
        <v>2733.3</v>
      </c>
    </row>
    <row r="778" spans="1:6" ht="31.5">
      <c r="A778" s="224">
        <v>1103</v>
      </c>
      <c r="B778" s="11" t="s">
        <v>339</v>
      </c>
      <c r="C778" s="219" t="s">
        <v>92</v>
      </c>
      <c r="D778" s="225" t="s">
        <v>93</v>
      </c>
      <c r="E778" s="17">
        <f>E779</f>
        <v>2733.3</v>
      </c>
      <c r="F778" s="17">
        <f t="shared" si="189"/>
        <v>2733.3</v>
      </c>
    </row>
    <row r="779" spans="1:6">
      <c r="A779" s="224">
        <v>1103</v>
      </c>
      <c r="B779" s="11" t="s">
        <v>339</v>
      </c>
      <c r="C779" s="224">
        <v>610</v>
      </c>
      <c r="D779" s="225" t="s">
        <v>99</v>
      </c>
      <c r="E779" s="17">
        <f>'№ 6 ведом'!F512</f>
        <v>2733.3</v>
      </c>
      <c r="F779" s="17">
        <f>'№ 6 ведом'!G512</f>
        <v>2733.3</v>
      </c>
    </row>
    <row r="780" spans="1:6" ht="31.5">
      <c r="A780" s="224">
        <v>1103</v>
      </c>
      <c r="B780" s="219">
        <v>2500000000</v>
      </c>
      <c r="C780" s="224"/>
      <c r="D780" s="225" t="s">
        <v>312</v>
      </c>
      <c r="E780" s="17">
        <f>E781</f>
        <v>1436.2</v>
      </c>
      <c r="F780" s="17">
        <f t="shared" ref="F780" si="190">F781</f>
        <v>1420.7</v>
      </c>
    </row>
    <row r="781" spans="1:6" ht="31.5">
      <c r="A781" s="224">
        <v>1103</v>
      </c>
      <c r="B781" s="219">
        <v>2520000000</v>
      </c>
      <c r="C781" s="224"/>
      <c r="D781" s="225" t="s">
        <v>241</v>
      </c>
      <c r="E781" s="17">
        <f>E782+E786+E790</f>
        <v>1436.2</v>
      </c>
      <c r="F781" s="17">
        <f t="shared" ref="F781" si="191">F782+F786+F790</f>
        <v>1420.7</v>
      </c>
    </row>
    <row r="782" spans="1:6" ht="31.5">
      <c r="A782" s="224">
        <v>1103</v>
      </c>
      <c r="B782" s="219">
        <v>2520400000</v>
      </c>
      <c r="C782" s="224"/>
      <c r="D782" s="56" t="s">
        <v>330</v>
      </c>
      <c r="E782" s="17">
        <f>E783</f>
        <v>65.5</v>
      </c>
      <c r="F782" s="17">
        <f t="shared" ref="F782:F784" si="192">F783</f>
        <v>59.8</v>
      </c>
    </row>
    <row r="783" spans="1:6">
      <c r="A783" s="224">
        <v>1103</v>
      </c>
      <c r="B783" s="219">
        <v>2520420300</v>
      </c>
      <c r="C783" s="224"/>
      <c r="D783" s="56" t="s">
        <v>331</v>
      </c>
      <c r="E783" s="17">
        <f>E784</f>
        <v>65.5</v>
      </c>
      <c r="F783" s="17">
        <f t="shared" si="192"/>
        <v>59.8</v>
      </c>
    </row>
    <row r="784" spans="1:6" ht="31.5">
      <c r="A784" s="224">
        <v>1103</v>
      </c>
      <c r="B784" s="219">
        <v>2520420300</v>
      </c>
      <c r="C784" s="219" t="s">
        <v>92</v>
      </c>
      <c r="D784" s="56" t="s">
        <v>93</v>
      </c>
      <c r="E784" s="17">
        <f>E785</f>
        <v>65.5</v>
      </c>
      <c r="F784" s="17">
        <f t="shared" si="192"/>
        <v>59.8</v>
      </c>
    </row>
    <row r="785" spans="1:6">
      <c r="A785" s="224">
        <v>1103</v>
      </c>
      <c r="B785" s="219">
        <v>2520420300</v>
      </c>
      <c r="C785" s="224">
        <v>610</v>
      </c>
      <c r="D785" s="56" t="s">
        <v>99</v>
      </c>
      <c r="E785" s="17">
        <f>'№ 6 ведом'!F518</f>
        <v>65.5</v>
      </c>
      <c r="F785" s="17">
        <f>'№ 6 ведом'!G518</f>
        <v>59.8</v>
      </c>
    </row>
    <row r="786" spans="1:6" ht="31.5">
      <c r="A786" s="224">
        <v>1103</v>
      </c>
      <c r="B786" s="219">
        <v>2520500000</v>
      </c>
      <c r="C786" s="224"/>
      <c r="D786" s="225" t="s">
        <v>341</v>
      </c>
      <c r="E786" s="17">
        <f>E787</f>
        <v>103.7</v>
      </c>
      <c r="F786" s="17">
        <f t="shared" ref="F786:F788" si="193">F787</f>
        <v>95.9</v>
      </c>
    </row>
    <row r="787" spans="1:6">
      <c r="A787" s="224">
        <v>1103</v>
      </c>
      <c r="B787" s="219">
        <v>2520520300</v>
      </c>
      <c r="C787" s="224"/>
      <c r="D787" s="225" t="s">
        <v>342</v>
      </c>
      <c r="E787" s="17">
        <f>E788</f>
        <v>103.7</v>
      </c>
      <c r="F787" s="17">
        <f t="shared" si="193"/>
        <v>95.9</v>
      </c>
    </row>
    <row r="788" spans="1:6" ht="31.5">
      <c r="A788" s="224">
        <v>1103</v>
      </c>
      <c r="B788" s="219">
        <v>2520520300</v>
      </c>
      <c r="C788" s="219" t="s">
        <v>92</v>
      </c>
      <c r="D788" s="56" t="s">
        <v>93</v>
      </c>
      <c r="E788" s="17">
        <f>E789</f>
        <v>103.7</v>
      </c>
      <c r="F788" s="17">
        <f t="shared" si="193"/>
        <v>95.9</v>
      </c>
    </row>
    <row r="789" spans="1:6">
      <c r="A789" s="224">
        <v>1103</v>
      </c>
      <c r="B789" s="219">
        <v>2520520300</v>
      </c>
      <c r="C789" s="224">
        <v>610</v>
      </c>
      <c r="D789" s="56" t="s">
        <v>99</v>
      </c>
      <c r="E789" s="17">
        <f>'№ 6 ведом'!F522</f>
        <v>103.7</v>
      </c>
      <c r="F789" s="17">
        <f>'№ 6 ведом'!G522</f>
        <v>95.9</v>
      </c>
    </row>
    <row r="790" spans="1:6" ht="31.5">
      <c r="A790" s="224">
        <v>1103</v>
      </c>
      <c r="B790" s="219">
        <v>2520600000</v>
      </c>
      <c r="C790" s="224"/>
      <c r="D790" s="225" t="s">
        <v>340</v>
      </c>
      <c r="E790" s="17">
        <f>E791</f>
        <v>1267</v>
      </c>
      <c r="F790" s="17">
        <f t="shared" ref="F790:F792" si="194">F791</f>
        <v>1265</v>
      </c>
    </row>
    <row r="791" spans="1:6">
      <c r="A791" s="224">
        <v>1103</v>
      </c>
      <c r="B791" s="219">
        <v>2520620200</v>
      </c>
      <c r="C791" s="224"/>
      <c r="D791" s="225" t="s">
        <v>275</v>
      </c>
      <c r="E791" s="17">
        <f>E792</f>
        <v>1267</v>
      </c>
      <c r="F791" s="17">
        <f t="shared" si="194"/>
        <v>1265</v>
      </c>
    </row>
    <row r="792" spans="1:6" ht="31.5">
      <c r="A792" s="224">
        <v>1103</v>
      </c>
      <c r="B792" s="219">
        <v>2520620200</v>
      </c>
      <c r="C792" s="219" t="s">
        <v>92</v>
      </c>
      <c r="D792" s="56" t="s">
        <v>93</v>
      </c>
      <c r="E792" s="17">
        <f>E793</f>
        <v>1267</v>
      </c>
      <c r="F792" s="17">
        <f t="shared" si="194"/>
        <v>1265</v>
      </c>
    </row>
    <row r="793" spans="1:6">
      <c r="A793" s="224">
        <v>1103</v>
      </c>
      <c r="B793" s="219">
        <v>2520620200</v>
      </c>
      <c r="C793" s="224">
        <v>610</v>
      </c>
      <c r="D793" s="56" t="s">
        <v>99</v>
      </c>
      <c r="E793" s="17">
        <f>'№ 6 ведом'!F526</f>
        <v>1267</v>
      </c>
      <c r="F793" s="17">
        <f>'№ 6 ведом'!G526</f>
        <v>1265</v>
      </c>
    </row>
    <row r="794" spans="1:6">
      <c r="A794" s="4" t="s">
        <v>88</v>
      </c>
      <c r="B794" s="4" t="s">
        <v>64</v>
      </c>
      <c r="C794" s="4" t="s">
        <v>64</v>
      </c>
      <c r="D794" s="19" t="s">
        <v>61</v>
      </c>
      <c r="E794" s="60">
        <f t="shared" ref="E794:F797" si="195">E795</f>
        <v>2101.6999999999998</v>
      </c>
      <c r="F794" s="60">
        <f t="shared" si="195"/>
        <v>2043.7</v>
      </c>
    </row>
    <row r="795" spans="1:6">
      <c r="A795" s="224" t="s">
        <v>62</v>
      </c>
      <c r="B795" s="224" t="s">
        <v>64</v>
      </c>
      <c r="C795" s="224" t="s">
        <v>64</v>
      </c>
      <c r="D795" s="225" t="s">
        <v>63</v>
      </c>
      <c r="E795" s="17">
        <f t="shared" si="195"/>
        <v>2101.6999999999998</v>
      </c>
      <c r="F795" s="17">
        <f>F796</f>
        <v>2043.7</v>
      </c>
    </row>
    <row r="796" spans="1:6" ht="47.25">
      <c r="A796" s="224" t="s">
        <v>62</v>
      </c>
      <c r="B796" s="219">
        <v>2200000000</v>
      </c>
      <c r="C796" s="224"/>
      <c r="D796" s="225" t="s">
        <v>311</v>
      </c>
      <c r="E796" s="17">
        <f t="shared" si="195"/>
        <v>2101.6999999999998</v>
      </c>
      <c r="F796" s="17">
        <f t="shared" si="195"/>
        <v>2043.7</v>
      </c>
    </row>
    <row r="797" spans="1:6" ht="31.5">
      <c r="A797" s="224" t="s">
        <v>62</v>
      </c>
      <c r="B797" s="219">
        <v>2240000000</v>
      </c>
      <c r="C797" s="224"/>
      <c r="D797" s="225" t="s">
        <v>127</v>
      </c>
      <c r="E797" s="17">
        <f t="shared" si="195"/>
        <v>2101.6999999999998</v>
      </c>
      <c r="F797" s="17">
        <f t="shared" si="195"/>
        <v>2043.7</v>
      </c>
    </row>
    <row r="798" spans="1:6">
      <c r="A798" s="224" t="s">
        <v>62</v>
      </c>
      <c r="B798" s="224">
        <v>2240300000</v>
      </c>
      <c r="C798" s="224"/>
      <c r="D798" s="225" t="s">
        <v>183</v>
      </c>
      <c r="E798" s="17">
        <f>E799+E802+E805</f>
        <v>2101.6999999999998</v>
      </c>
      <c r="F798" s="17">
        <f>F799+F802+F805</f>
        <v>2043.7</v>
      </c>
    </row>
    <row r="799" spans="1:6" ht="47.25">
      <c r="A799" s="224" t="s">
        <v>62</v>
      </c>
      <c r="B799" s="224">
        <v>2240310320</v>
      </c>
      <c r="C799" s="224"/>
      <c r="D799" s="56" t="s">
        <v>237</v>
      </c>
      <c r="E799" s="17">
        <f t="shared" ref="E799:F800" si="196">E800</f>
        <v>490.7</v>
      </c>
      <c r="F799" s="17">
        <f t="shared" si="196"/>
        <v>490.7</v>
      </c>
    </row>
    <row r="800" spans="1:6" ht="31.5">
      <c r="A800" s="224" t="s">
        <v>62</v>
      </c>
      <c r="B800" s="224">
        <v>2240310320</v>
      </c>
      <c r="C800" s="219" t="s">
        <v>92</v>
      </c>
      <c r="D800" s="225" t="s">
        <v>93</v>
      </c>
      <c r="E800" s="17">
        <f t="shared" si="196"/>
        <v>490.7</v>
      </c>
      <c r="F800" s="17">
        <f t="shared" si="196"/>
        <v>490.7</v>
      </c>
    </row>
    <row r="801" spans="1:6" ht="31.5">
      <c r="A801" s="224" t="s">
        <v>62</v>
      </c>
      <c r="B801" s="224">
        <v>2240310320</v>
      </c>
      <c r="C801" s="224">
        <v>630</v>
      </c>
      <c r="D801" s="225" t="s">
        <v>138</v>
      </c>
      <c r="E801" s="17">
        <f>'№ 6 ведом'!F534</f>
        <v>490.7</v>
      </c>
      <c r="F801" s="17">
        <f>'№ 6 ведом'!G534</f>
        <v>490.7</v>
      </c>
    </row>
    <row r="802" spans="1:6" ht="47.25">
      <c r="A802" s="224" t="s">
        <v>62</v>
      </c>
      <c r="B802" s="224">
        <v>2240320400</v>
      </c>
      <c r="C802" s="224"/>
      <c r="D802" s="225" t="s">
        <v>238</v>
      </c>
      <c r="E802" s="17">
        <f t="shared" ref="E802:F803" si="197">E803</f>
        <v>656</v>
      </c>
      <c r="F802" s="17">
        <f t="shared" si="197"/>
        <v>598</v>
      </c>
    </row>
    <row r="803" spans="1:6" ht="31.5">
      <c r="A803" s="224" t="s">
        <v>62</v>
      </c>
      <c r="B803" s="224">
        <v>2240320400</v>
      </c>
      <c r="C803" s="219" t="s">
        <v>67</v>
      </c>
      <c r="D803" s="225" t="s">
        <v>90</v>
      </c>
      <c r="E803" s="17">
        <f t="shared" si="197"/>
        <v>656</v>
      </c>
      <c r="F803" s="17">
        <f t="shared" si="197"/>
        <v>598</v>
      </c>
    </row>
    <row r="804" spans="1:6" ht="31.5">
      <c r="A804" s="224" t="s">
        <v>62</v>
      </c>
      <c r="B804" s="224">
        <v>2240320400</v>
      </c>
      <c r="C804" s="224">
        <v>240</v>
      </c>
      <c r="D804" s="225" t="s">
        <v>216</v>
      </c>
      <c r="E804" s="17">
        <f>'№ 6 ведом'!F537</f>
        <v>656</v>
      </c>
      <c r="F804" s="17">
        <f>'№ 6 ведом'!G537</f>
        <v>598</v>
      </c>
    </row>
    <row r="805" spans="1:6" ht="47.25">
      <c r="A805" s="224" t="s">
        <v>62</v>
      </c>
      <c r="B805" s="224" t="s">
        <v>305</v>
      </c>
      <c r="C805" s="224"/>
      <c r="D805" s="225" t="s">
        <v>140</v>
      </c>
      <c r="E805" s="17">
        <f t="shared" ref="E805:F806" si="198">E806</f>
        <v>955</v>
      </c>
      <c r="F805" s="21">
        <f t="shared" si="198"/>
        <v>955</v>
      </c>
    </row>
    <row r="806" spans="1:6" ht="31.5">
      <c r="A806" s="224" t="s">
        <v>62</v>
      </c>
      <c r="B806" s="224" t="s">
        <v>305</v>
      </c>
      <c r="C806" s="219" t="s">
        <v>92</v>
      </c>
      <c r="D806" s="225" t="s">
        <v>93</v>
      </c>
      <c r="E806" s="17">
        <f t="shared" si="198"/>
        <v>955</v>
      </c>
      <c r="F806" s="21">
        <f t="shared" si="198"/>
        <v>955</v>
      </c>
    </row>
    <row r="807" spans="1:6" ht="31.5">
      <c r="A807" s="224" t="s">
        <v>62</v>
      </c>
      <c r="B807" s="224" t="s">
        <v>305</v>
      </c>
      <c r="C807" s="224">
        <v>630</v>
      </c>
      <c r="D807" s="225" t="s">
        <v>138</v>
      </c>
      <c r="E807" s="21">
        <f>'№ 6 ведом'!F540</f>
        <v>955</v>
      </c>
      <c r="F807" s="21">
        <f>'№ 6 ведом'!G540</f>
        <v>955</v>
      </c>
    </row>
  </sheetData>
  <autoFilter ref="A6:I807"/>
  <mergeCells count="8">
    <mergeCell ref="A1:F1"/>
    <mergeCell ref="A3:F3"/>
    <mergeCell ref="A4:A5"/>
    <mergeCell ref="B4:B5"/>
    <mergeCell ref="C4:C5"/>
    <mergeCell ref="D4:D5"/>
    <mergeCell ref="E4:E5"/>
    <mergeCell ref="F4:F5"/>
  </mergeCells>
  <pageMargins left="0.78740157480314965" right="0.19685039370078741" top="0.19685039370078741" bottom="0.19685039370078741" header="0.31496062992125984" footer="0.31496062992125984"/>
  <pageSetup paperSize="9" scale="70" fitToHeight="0" orientation="portrait" r:id="rId1"/>
  <headerFooter>
    <oddFooter>&amp;Ф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codeName="Лист14"/>
  <dimension ref="A1:G1161"/>
  <sheetViews>
    <sheetView tabSelected="1" view="pageBreakPreview" topLeftCell="A381" zoomScaleSheetLayoutView="100" workbookViewId="0">
      <selection activeCell="K392" sqref="K392"/>
    </sheetView>
  </sheetViews>
  <sheetFormatPr defaultColWidth="8.85546875" defaultRowHeight="15.75"/>
  <cols>
    <col min="1" max="1" width="15" style="30" customWidth="1"/>
    <col min="2" max="2" width="8.7109375" style="30" customWidth="1"/>
    <col min="3" max="3" width="74.140625" style="54" customWidth="1"/>
    <col min="4" max="4" width="12.28515625" style="38" customWidth="1"/>
    <col min="5" max="5" width="13.140625" style="38" customWidth="1"/>
    <col min="6" max="6" width="9.85546875" style="80" bestFit="1" customWidth="1"/>
    <col min="7" max="16384" width="8.85546875" style="30"/>
  </cols>
  <sheetData>
    <row r="1" spans="1:5" ht="52.15" customHeight="1">
      <c r="A1" s="444" t="s">
        <v>431</v>
      </c>
      <c r="B1" s="444"/>
      <c r="C1" s="444"/>
      <c r="D1" s="444"/>
      <c r="E1" s="444"/>
    </row>
    <row r="2" spans="1:5" ht="21.6" customHeight="1">
      <c r="A2" s="165"/>
      <c r="B2" s="165"/>
      <c r="C2" s="163"/>
      <c r="D2" s="163"/>
      <c r="E2" s="163"/>
    </row>
    <row r="3" spans="1:5" ht="50.45" customHeight="1">
      <c r="A3" s="445" t="s">
        <v>417</v>
      </c>
      <c r="B3" s="445"/>
      <c r="C3" s="445"/>
      <c r="D3" s="445"/>
      <c r="E3" s="445"/>
    </row>
    <row r="4" spans="1:5" ht="15.6" customHeight="1">
      <c r="A4" s="446"/>
      <c r="B4" s="446" t="s">
        <v>17</v>
      </c>
      <c r="C4" s="446" t="s">
        <v>18</v>
      </c>
      <c r="D4" s="416" t="s">
        <v>411</v>
      </c>
      <c r="E4" s="418" t="s">
        <v>412</v>
      </c>
    </row>
    <row r="5" spans="1:5" ht="31.15" customHeight="1">
      <c r="A5" s="446" t="s">
        <v>64</v>
      </c>
      <c r="B5" s="446" t="s">
        <v>64</v>
      </c>
      <c r="C5" s="446" t="s">
        <v>64</v>
      </c>
      <c r="D5" s="417"/>
      <c r="E5" s="419"/>
    </row>
    <row r="6" spans="1:5">
      <c r="A6" s="102" t="s">
        <v>3</v>
      </c>
      <c r="B6" s="102" t="s">
        <v>75</v>
      </c>
      <c r="C6" s="52" t="s">
        <v>76</v>
      </c>
      <c r="D6" s="156" t="s">
        <v>77</v>
      </c>
      <c r="E6" s="156" t="s">
        <v>78</v>
      </c>
    </row>
    <row r="7" spans="1:5">
      <c r="A7" s="31" t="s">
        <v>64</v>
      </c>
      <c r="B7" s="31" t="s">
        <v>64</v>
      </c>
      <c r="C7" s="32" t="s">
        <v>0</v>
      </c>
      <c r="D7" s="35">
        <f>D8+D122+D257+D328+D381+D430+D485</f>
        <v>1322360.4000000004</v>
      </c>
      <c r="E7" s="35">
        <f>E8+E122+E257+E328+E381+E430+E485</f>
        <v>1175067.3</v>
      </c>
    </row>
    <row r="8" spans="1:5" ht="33" customHeight="1">
      <c r="A8" s="28">
        <v>2100000000</v>
      </c>
      <c r="B8" s="33"/>
      <c r="C8" s="45" t="s">
        <v>313</v>
      </c>
      <c r="D8" s="36">
        <f>D9+D75+D99</f>
        <v>721343.60000000009</v>
      </c>
      <c r="E8" s="36">
        <f>E9+E75+E99</f>
        <v>719994.20000000019</v>
      </c>
    </row>
    <row r="9" spans="1:5">
      <c r="A9" s="98">
        <v>2110000000</v>
      </c>
      <c r="B9" s="98"/>
      <c r="C9" s="99" t="s">
        <v>159</v>
      </c>
      <c r="D9" s="37">
        <f>D10+D26+D32+D36+D45+D55+D59+D67+D72+D63</f>
        <v>673067.9</v>
      </c>
      <c r="E9" s="37">
        <f>E10+E26+E32+E36+E45+E55+E59+E67+E72+E63</f>
        <v>671752.00000000012</v>
      </c>
    </row>
    <row r="10" spans="1:5" ht="47.25">
      <c r="A10" s="98">
        <v>2110100000</v>
      </c>
      <c r="B10" s="24"/>
      <c r="C10" s="99" t="s">
        <v>160</v>
      </c>
      <c r="D10" s="37">
        <f>D17+D11+D14+D20+D23</f>
        <v>577990.6</v>
      </c>
      <c r="E10" s="37">
        <f>E17+E11+E14+E20+E23</f>
        <v>577990.6</v>
      </c>
    </row>
    <row r="11" spans="1:5" ht="47.25">
      <c r="A11" s="10" t="s">
        <v>306</v>
      </c>
      <c r="B11" s="11"/>
      <c r="C11" s="42" t="s">
        <v>98</v>
      </c>
      <c r="D11" s="37">
        <f t="shared" ref="D11:E12" si="0">D12</f>
        <v>148201</v>
      </c>
      <c r="E11" s="37">
        <f t="shared" si="0"/>
        <v>148201</v>
      </c>
    </row>
    <row r="12" spans="1:5" ht="31.5">
      <c r="A12" s="10" t="s">
        <v>306</v>
      </c>
      <c r="B12" s="100" t="s">
        <v>92</v>
      </c>
      <c r="C12" s="99" t="s">
        <v>93</v>
      </c>
      <c r="D12" s="37">
        <f t="shared" si="0"/>
        <v>148201</v>
      </c>
      <c r="E12" s="37">
        <f t="shared" si="0"/>
        <v>148201</v>
      </c>
    </row>
    <row r="13" spans="1:5">
      <c r="A13" s="10" t="s">
        <v>306</v>
      </c>
      <c r="B13" s="98">
        <v>610</v>
      </c>
      <c r="C13" s="99" t="s">
        <v>99</v>
      </c>
      <c r="D13" s="37">
        <f>' № 7  рп, кцср, квр'!E352</f>
        <v>148201</v>
      </c>
      <c r="E13" s="37">
        <f>' № 7  рп, кцср, квр'!F352</f>
        <v>148201</v>
      </c>
    </row>
    <row r="14" spans="1:5" ht="81" customHeight="1">
      <c r="A14" s="98">
        <v>2110110750</v>
      </c>
      <c r="B14" s="98"/>
      <c r="C14" s="99" t="s">
        <v>161</v>
      </c>
      <c r="D14" s="37">
        <f t="shared" ref="D14:E15" si="1">D15</f>
        <v>258828.3</v>
      </c>
      <c r="E14" s="37">
        <f t="shared" si="1"/>
        <v>258828.3</v>
      </c>
    </row>
    <row r="15" spans="1:5" ht="31.5">
      <c r="A15" s="98">
        <v>2110110750</v>
      </c>
      <c r="B15" s="100" t="s">
        <v>92</v>
      </c>
      <c r="C15" s="99" t="s">
        <v>93</v>
      </c>
      <c r="D15" s="37">
        <f t="shared" si="1"/>
        <v>258828.3</v>
      </c>
      <c r="E15" s="37">
        <f t="shared" si="1"/>
        <v>258828.3</v>
      </c>
    </row>
    <row r="16" spans="1:5">
      <c r="A16" s="98">
        <v>2110110750</v>
      </c>
      <c r="B16" s="98">
        <v>610</v>
      </c>
      <c r="C16" s="99" t="s">
        <v>99</v>
      </c>
      <c r="D16" s="37">
        <f>' № 7  рп, кцср, квр'!E404</f>
        <v>258828.3</v>
      </c>
      <c r="E16" s="37">
        <f>' № 7  рп, кцср, квр'!F404</f>
        <v>258828.3</v>
      </c>
    </row>
    <row r="17" spans="1:5" ht="31.5">
      <c r="A17" s="10" t="s">
        <v>307</v>
      </c>
      <c r="B17" s="10"/>
      <c r="C17" s="42" t="s">
        <v>118</v>
      </c>
      <c r="D17" s="37">
        <f t="shared" ref="D17:E18" si="2">D18</f>
        <v>168647.8</v>
      </c>
      <c r="E17" s="37">
        <f t="shared" si="2"/>
        <v>168647.8</v>
      </c>
    </row>
    <row r="18" spans="1:5" ht="31.5">
      <c r="A18" s="10" t="s">
        <v>307</v>
      </c>
      <c r="B18" s="100" t="s">
        <v>92</v>
      </c>
      <c r="C18" s="99" t="s">
        <v>93</v>
      </c>
      <c r="D18" s="37">
        <f t="shared" si="2"/>
        <v>168647.8</v>
      </c>
      <c r="E18" s="37">
        <f t="shared" si="2"/>
        <v>168647.8</v>
      </c>
    </row>
    <row r="19" spans="1:5">
      <c r="A19" s="10" t="s">
        <v>307</v>
      </c>
      <c r="B19" s="98">
        <v>610</v>
      </c>
      <c r="C19" s="99" t="s">
        <v>99</v>
      </c>
      <c r="D19" s="37">
        <f>' № 7  рп, кцср, квр'!E355+' № 7  рп, кцср, квр'!E405</f>
        <v>168647.8</v>
      </c>
      <c r="E19" s="37">
        <f>' № 7  рп, кцср, квр'!F355+' № 7  рп, кцср, квр'!F405</f>
        <v>168647.8</v>
      </c>
    </row>
    <row r="20" spans="1:5" ht="47.25">
      <c r="A20" s="10" t="s">
        <v>400</v>
      </c>
      <c r="B20" s="10"/>
      <c r="C20" s="42" t="s">
        <v>401</v>
      </c>
      <c r="D20" s="37">
        <f>D21</f>
        <v>2290.3000000000002</v>
      </c>
      <c r="E20" s="37">
        <f>E21</f>
        <v>2290.3000000000002</v>
      </c>
    </row>
    <row r="21" spans="1:5" ht="31.5">
      <c r="A21" s="10" t="s">
        <v>400</v>
      </c>
      <c r="B21" s="211" t="s">
        <v>92</v>
      </c>
      <c r="C21" s="213" t="s">
        <v>93</v>
      </c>
      <c r="D21" s="37">
        <f>D22</f>
        <v>2290.3000000000002</v>
      </c>
      <c r="E21" s="37">
        <f>E22</f>
        <v>2290.3000000000002</v>
      </c>
    </row>
    <row r="22" spans="1:5">
      <c r="A22" s="10" t="s">
        <v>400</v>
      </c>
      <c r="B22" s="212">
        <v>610</v>
      </c>
      <c r="C22" s="213" t="s">
        <v>99</v>
      </c>
      <c r="D22" s="37">
        <f>' № 7  рп, кцср, квр'!E358+' № 7  рп, кцср, квр'!E410</f>
        <v>2290.3000000000002</v>
      </c>
      <c r="E22" s="37">
        <f>' № 7  рп, кцср, квр'!F358+' № 7  рп, кцср, квр'!F410</f>
        <v>2290.3000000000002</v>
      </c>
    </row>
    <row r="23" spans="1:5" ht="47.25">
      <c r="A23" s="10" t="s">
        <v>402</v>
      </c>
      <c r="B23" s="11"/>
      <c r="C23" s="213" t="s">
        <v>403</v>
      </c>
      <c r="D23" s="37">
        <f>D24</f>
        <v>23.2</v>
      </c>
      <c r="E23" s="37">
        <f>E24</f>
        <v>23.2</v>
      </c>
    </row>
    <row r="24" spans="1:5" ht="31.5">
      <c r="A24" s="10" t="s">
        <v>402</v>
      </c>
      <c r="B24" s="211" t="s">
        <v>92</v>
      </c>
      <c r="C24" s="213" t="s">
        <v>93</v>
      </c>
      <c r="D24" s="37">
        <f>D25</f>
        <v>23.2</v>
      </c>
      <c r="E24" s="37">
        <f>E25</f>
        <v>23.2</v>
      </c>
    </row>
    <row r="25" spans="1:5">
      <c r="A25" s="10" t="s">
        <v>402</v>
      </c>
      <c r="B25" s="212">
        <v>610</v>
      </c>
      <c r="C25" s="213" t="s">
        <v>99</v>
      </c>
      <c r="D25" s="37">
        <f>' № 7  рп, кцср, квр'!E361+' № 7  рп, кцср, квр'!E413</f>
        <v>23.2</v>
      </c>
      <c r="E25" s="37">
        <f>' № 7  рп, кцср, квр'!F361+' № 7  рп, кцср, квр'!F413</f>
        <v>23.2</v>
      </c>
    </row>
    <row r="26" spans="1:5" ht="33.75" customHeight="1">
      <c r="A26" s="98">
        <v>2110200000</v>
      </c>
      <c r="B26" s="98"/>
      <c r="C26" s="99" t="s">
        <v>167</v>
      </c>
      <c r="D26" s="37">
        <f>D27</f>
        <v>9592.7000000000007</v>
      </c>
      <c r="E26" s="37">
        <f>E27</f>
        <v>8550</v>
      </c>
    </row>
    <row r="27" spans="1:5" ht="78.75">
      <c r="A27" s="98">
        <v>2110210500</v>
      </c>
      <c r="B27" s="98"/>
      <c r="C27" s="99" t="s">
        <v>211</v>
      </c>
      <c r="D27" s="37">
        <f>D28+D30</f>
        <v>9592.7000000000007</v>
      </c>
      <c r="E27" s="37">
        <f>E28+E30</f>
        <v>8550</v>
      </c>
    </row>
    <row r="28" spans="1:5" ht="31.5">
      <c r="A28" s="98">
        <v>2110210500</v>
      </c>
      <c r="B28" s="98" t="s">
        <v>67</v>
      </c>
      <c r="C28" s="99" t="s">
        <v>90</v>
      </c>
      <c r="D28" s="37">
        <f>D29</f>
        <v>233.9</v>
      </c>
      <c r="E28" s="37">
        <f>E29</f>
        <v>193.6</v>
      </c>
    </row>
    <row r="29" spans="1:5" ht="31.5">
      <c r="A29" s="98">
        <v>2110210500</v>
      </c>
      <c r="B29" s="98">
        <v>240</v>
      </c>
      <c r="C29" s="99" t="s">
        <v>216</v>
      </c>
      <c r="D29" s="37">
        <f>' № 7  рп, кцср, квр'!E698</f>
        <v>233.9</v>
      </c>
      <c r="E29" s="37">
        <f>' № 7  рп, кцср, квр'!F698</f>
        <v>193.6</v>
      </c>
    </row>
    <row r="30" spans="1:5">
      <c r="A30" s="98">
        <v>2110210500</v>
      </c>
      <c r="B30" s="98" t="s">
        <v>71</v>
      </c>
      <c r="C30" s="99" t="s">
        <v>72</v>
      </c>
      <c r="D30" s="37">
        <f>D31</f>
        <v>9358.8000000000011</v>
      </c>
      <c r="E30" s="37">
        <f>E31</f>
        <v>8356.4</v>
      </c>
    </row>
    <row r="31" spans="1:5" ht="31.5">
      <c r="A31" s="98">
        <v>2110210500</v>
      </c>
      <c r="B31" s="1" t="s">
        <v>96</v>
      </c>
      <c r="C31" s="47" t="s">
        <v>97</v>
      </c>
      <c r="D31" s="37">
        <f>' № 7  рп, кцср, квр'!E700</f>
        <v>9358.8000000000011</v>
      </c>
      <c r="E31" s="37">
        <f>' № 7  рп, кцср, квр'!F700</f>
        <v>8356.4</v>
      </c>
    </row>
    <row r="32" spans="1:5" ht="31.5">
      <c r="A32" s="98">
        <v>2110300000</v>
      </c>
      <c r="B32" s="98"/>
      <c r="C32" s="99" t="s">
        <v>162</v>
      </c>
      <c r="D32" s="37">
        <f t="shared" ref="D32:E34" si="3">D33</f>
        <v>25004.799999999999</v>
      </c>
      <c r="E32" s="37">
        <f t="shared" si="3"/>
        <v>25004.799999999999</v>
      </c>
    </row>
    <row r="33" spans="1:5" ht="47.25">
      <c r="A33" s="173" t="s">
        <v>370</v>
      </c>
      <c r="B33" s="98"/>
      <c r="C33" s="99" t="s">
        <v>266</v>
      </c>
      <c r="D33" s="37">
        <f t="shared" si="3"/>
        <v>25004.799999999999</v>
      </c>
      <c r="E33" s="37">
        <f t="shared" si="3"/>
        <v>25004.799999999999</v>
      </c>
    </row>
    <row r="34" spans="1:5" ht="31.5">
      <c r="A34" s="173" t="s">
        <v>370</v>
      </c>
      <c r="B34" s="100" t="s">
        <v>92</v>
      </c>
      <c r="C34" s="99" t="s">
        <v>93</v>
      </c>
      <c r="D34" s="37">
        <f t="shared" si="3"/>
        <v>25004.799999999999</v>
      </c>
      <c r="E34" s="37">
        <f t="shared" si="3"/>
        <v>25004.799999999999</v>
      </c>
    </row>
    <row r="35" spans="1:5">
      <c r="A35" s="173" t="s">
        <v>370</v>
      </c>
      <c r="B35" s="98">
        <v>610</v>
      </c>
      <c r="C35" s="99" t="s">
        <v>99</v>
      </c>
      <c r="D35" s="37">
        <f>' № 7  рп, кцср, квр'!E417</f>
        <v>25004.799999999999</v>
      </c>
      <c r="E35" s="37">
        <f>' № 7  рп, кцср, квр'!F417</f>
        <v>25004.799999999999</v>
      </c>
    </row>
    <row r="36" spans="1:5">
      <c r="A36" s="98">
        <v>2110400000</v>
      </c>
      <c r="B36" s="98"/>
      <c r="C36" s="49" t="s">
        <v>163</v>
      </c>
      <c r="D36" s="37">
        <f>D42+D37</f>
        <v>3390.5</v>
      </c>
      <c r="E36" s="37">
        <f>E42+E37</f>
        <v>3361.6000000000004</v>
      </c>
    </row>
    <row r="37" spans="1:5" ht="31.5">
      <c r="A37" s="98">
        <v>2110410240</v>
      </c>
      <c r="B37" s="98"/>
      <c r="C37" s="56" t="s">
        <v>236</v>
      </c>
      <c r="D37" s="37">
        <f>D38+D40</f>
        <v>3051.4</v>
      </c>
      <c r="E37" s="37">
        <f>E38+E40</f>
        <v>3024.2000000000003</v>
      </c>
    </row>
    <row r="38" spans="1:5">
      <c r="A38" s="98">
        <v>2110410240</v>
      </c>
      <c r="B38" s="1" t="s">
        <v>71</v>
      </c>
      <c r="C38" s="47" t="s">
        <v>72</v>
      </c>
      <c r="D38" s="37">
        <f>D39</f>
        <v>154.19999999999999</v>
      </c>
      <c r="E38" s="37">
        <f>E39</f>
        <v>133.80000000000001</v>
      </c>
    </row>
    <row r="39" spans="1:5" ht="31.5">
      <c r="A39" s="98">
        <v>2110410240</v>
      </c>
      <c r="B39" s="98">
        <v>320</v>
      </c>
      <c r="C39" s="99" t="s">
        <v>97</v>
      </c>
      <c r="D39" s="37">
        <f>' № 7  рп, кцср, квр'!E570</f>
        <v>154.19999999999999</v>
      </c>
      <c r="E39" s="37">
        <f>' № 7  рп, кцср, квр'!F570</f>
        <v>133.80000000000001</v>
      </c>
    </row>
    <row r="40" spans="1:5" ht="31.5">
      <c r="A40" s="98">
        <v>2110410240</v>
      </c>
      <c r="B40" s="100" t="s">
        <v>92</v>
      </c>
      <c r="C40" s="99" t="s">
        <v>93</v>
      </c>
      <c r="D40" s="37">
        <f>D41</f>
        <v>2897.2000000000003</v>
      </c>
      <c r="E40" s="37">
        <f>E41</f>
        <v>2890.4</v>
      </c>
    </row>
    <row r="41" spans="1:5">
      <c r="A41" s="98">
        <v>2110410240</v>
      </c>
      <c r="B41" s="98">
        <v>610</v>
      </c>
      <c r="C41" s="99" t="s">
        <v>99</v>
      </c>
      <c r="D41" s="37">
        <f>' № 7  рп, кцср, квр'!E572</f>
        <v>2897.2000000000003</v>
      </c>
      <c r="E41" s="37">
        <f>' № 7  рп, кцср, квр'!F572</f>
        <v>2890.4</v>
      </c>
    </row>
    <row r="42" spans="1:5" ht="31.5">
      <c r="A42" s="98" t="s">
        <v>310</v>
      </c>
      <c r="B42" s="98"/>
      <c r="C42" s="49" t="s">
        <v>164</v>
      </c>
      <c r="D42" s="37">
        <f t="shared" ref="D42:E43" si="4">D43</f>
        <v>339.1</v>
      </c>
      <c r="E42" s="37">
        <f t="shared" si="4"/>
        <v>337.4</v>
      </c>
    </row>
    <row r="43" spans="1:5" ht="31.5">
      <c r="A43" s="98" t="s">
        <v>310</v>
      </c>
      <c r="B43" s="181" t="s">
        <v>92</v>
      </c>
      <c r="C43" s="183" t="s">
        <v>93</v>
      </c>
      <c r="D43" s="37">
        <f t="shared" si="4"/>
        <v>339.1</v>
      </c>
      <c r="E43" s="37">
        <f t="shared" si="4"/>
        <v>337.4</v>
      </c>
    </row>
    <row r="44" spans="1:5">
      <c r="A44" s="98" t="s">
        <v>310</v>
      </c>
      <c r="B44" s="182">
        <v>610</v>
      </c>
      <c r="C44" s="183" t="s">
        <v>99</v>
      </c>
      <c r="D44" s="37">
        <f>' № 7  рп, кцср, квр'!E575</f>
        <v>339.1</v>
      </c>
      <c r="E44" s="37">
        <f>' № 7  рп, кцср, квр'!F575</f>
        <v>337.4</v>
      </c>
    </row>
    <row r="45" spans="1:5" ht="63">
      <c r="A45" s="98">
        <v>2110500000</v>
      </c>
      <c r="B45" s="98"/>
      <c r="C45" s="56" t="s">
        <v>242</v>
      </c>
      <c r="D45" s="37">
        <f>D52+D46+D49</f>
        <v>35160.400000000001</v>
      </c>
      <c r="E45" s="37">
        <f>E52+E46+E49</f>
        <v>35068.400000000001</v>
      </c>
    </row>
    <row r="46" spans="1:5" ht="47.25">
      <c r="A46" s="150">
        <v>2110510440</v>
      </c>
      <c r="B46" s="150"/>
      <c r="C46" s="161" t="s">
        <v>353</v>
      </c>
      <c r="D46" s="125">
        <f>D47</f>
        <v>17661.3</v>
      </c>
      <c r="E46" s="125">
        <f>E47</f>
        <v>17651.400000000001</v>
      </c>
    </row>
    <row r="47" spans="1:5" ht="31.5">
      <c r="A47" s="150">
        <v>2110510440</v>
      </c>
      <c r="B47" s="150" t="s">
        <v>92</v>
      </c>
      <c r="C47" s="152" t="s">
        <v>93</v>
      </c>
      <c r="D47" s="125">
        <f>D48</f>
        <v>17661.3</v>
      </c>
      <c r="E47" s="125">
        <f>E48</f>
        <v>17651.400000000001</v>
      </c>
    </row>
    <row r="48" spans="1:5">
      <c r="A48" s="150">
        <v>2110510440</v>
      </c>
      <c r="B48" s="150">
        <v>610</v>
      </c>
      <c r="C48" s="152" t="s">
        <v>99</v>
      </c>
      <c r="D48" s="125">
        <f>' № 7  рп, кцср, квр'!E421</f>
        <v>17661.3</v>
      </c>
      <c r="E48" s="125">
        <f>' № 7  рп, кцср, квр'!F421</f>
        <v>17651.400000000001</v>
      </c>
    </row>
    <row r="49" spans="1:5" ht="31.5">
      <c r="A49" s="10" t="s">
        <v>357</v>
      </c>
      <c r="B49" s="167"/>
      <c r="C49" s="56" t="s">
        <v>358</v>
      </c>
      <c r="D49" s="125">
        <f>D50</f>
        <v>9600.2000000000007</v>
      </c>
      <c r="E49" s="125">
        <f>E50</f>
        <v>9539.4</v>
      </c>
    </row>
    <row r="50" spans="1:5" ht="31.5">
      <c r="A50" s="10" t="s">
        <v>357</v>
      </c>
      <c r="B50" s="166" t="s">
        <v>92</v>
      </c>
      <c r="C50" s="168" t="s">
        <v>93</v>
      </c>
      <c r="D50" s="125">
        <f>D51</f>
        <v>9600.2000000000007</v>
      </c>
      <c r="E50" s="125">
        <f>E51</f>
        <v>9539.4</v>
      </c>
    </row>
    <row r="51" spans="1:5">
      <c r="A51" s="10" t="s">
        <v>357</v>
      </c>
      <c r="B51" s="167">
        <v>610</v>
      </c>
      <c r="C51" s="168" t="s">
        <v>99</v>
      </c>
      <c r="D51" s="125">
        <f>' № 7  рп, кцср, квр'!E424+' № 7  рп, кцср, квр'!E363</f>
        <v>9600.2000000000007</v>
      </c>
      <c r="E51" s="125">
        <f>' № 7  рп, кцср, квр'!F424+' № 7  рп, кцср, квр'!F363</f>
        <v>9539.4</v>
      </c>
    </row>
    <row r="52" spans="1:5" ht="31.5">
      <c r="A52" s="122" t="s">
        <v>328</v>
      </c>
      <c r="B52" s="122"/>
      <c r="C52" s="124" t="s">
        <v>325</v>
      </c>
      <c r="D52" s="125">
        <f t="shared" ref="D52:E53" si="5">D53</f>
        <v>7898.9000000000015</v>
      </c>
      <c r="E52" s="125">
        <f t="shared" si="5"/>
        <v>7877.6</v>
      </c>
    </row>
    <row r="53" spans="1:5" ht="31.5">
      <c r="A53" s="122" t="s">
        <v>328</v>
      </c>
      <c r="B53" s="122" t="s">
        <v>92</v>
      </c>
      <c r="C53" s="124" t="s">
        <v>93</v>
      </c>
      <c r="D53" s="125">
        <f t="shared" si="5"/>
        <v>7898.9000000000015</v>
      </c>
      <c r="E53" s="125">
        <f t="shared" si="5"/>
        <v>7877.6</v>
      </c>
    </row>
    <row r="54" spans="1:5">
      <c r="A54" s="122" t="s">
        <v>328</v>
      </c>
      <c r="B54" s="122">
        <v>610</v>
      </c>
      <c r="C54" s="124" t="s">
        <v>99</v>
      </c>
      <c r="D54" s="125">
        <f>' № 7  рп, кцср, квр'!E427</f>
        <v>7898.9000000000015</v>
      </c>
      <c r="E54" s="125">
        <f>' № 7  рп, кцср, квр'!F427</f>
        <v>7877.6</v>
      </c>
    </row>
    <row r="55" spans="1:5" ht="47.25">
      <c r="A55" s="126">
        <v>2110600000</v>
      </c>
      <c r="B55" s="98"/>
      <c r="C55" s="127" t="s">
        <v>267</v>
      </c>
      <c r="D55" s="130">
        <f t="shared" ref="D55:E57" si="6">D56</f>
        <v>14269.999999999998</v>
      </c>
      <c r="E55" s="130">
        <f t="shared" si="6"/>
        <v>14270</v>
      </c>
    </row>
    <row r="56" spans="1:5" ht="47.25">
      <c r="A56" s="126">
        <v>2110653031</v>
      </c>
      <c r="B56" s="98"/>
      <c r="C56" s="131" t="s">
        <v>268</v>
      </c>
      <c r="D56" s="130">
        <f t="shared" si="6"/>
        <v>14269.999999999998</v>
      </c>
      <c r="E56" s="130">
        <f t="shared" si="6"/>
        <v>14270</v>
      </c>
    </row>
    <row r="57" spans="1:5" ht="31.5">
      <c r="A57" s="126">
        <v>2110653031</v>
      </c>
      <c r="B57" s="100" t="s">
        <v>92</v>
      </c>
      <c r="C57" s="127" t="s">
        <v>93</v>
      </c>
      <c r="D57" s="130">
        <f t="shared" si="6"/>
        <v>14269.999999999998</v>
      </c>
      <c r="E57" s="130">
        <f t="shared" si="6"/>
        <v>14270</v>
      </c>
    </row>
    <row r="58" spans="1:5">
      <c r="A58" s="126">
        <v>2110653031</v>
      </c>
      <c r="B58" s="98">
        <v>610</v>
      </c>
      <c r="C58" s="99" t="s">
        <v>99</v>
      </c>
      <c r="D58" s="96">
        <f>' № 7  рп, кцср, квр'!E431</f>
        <v>14269.999999999998</v>
      </c>
      <c r="E58" s="96">
        <f>' № 7  рп, кцср, квр'!F431</f>
        <v>14270</v>
      </c>
    </row>
    <row r="59" spans="1:5" ht="31.5">
      <c r="A59" s="126">
        <v>2110700000</v>
      </c>
      <c r="B59" s="98"/>
      <c r="C59" s="99" t="s">
        <v>277</v>
      </c>
      <c r="D59" s="96">
        <f t="shared" ref="D59:E61" si="7">D60</f>
        <v>3003.1</v>
      </c>
      <c r="E59" s="96">
        <f t="shared" si="7"/>
        <v>2850.9</v>
      </c>
    </row>
    <row r="60" spans="1:5" ht="47.25">
      <c r="A60" s="126">
        <v>2110720020</v>
      </c>
      <c r="B60" s="98"/>
      <c r="C60" s="99" t="s">
        <v>284</v>
      </c>
      <c r="D60" s="96">
        <f t="shared" si="7"/>
        <v>3003.1</v>
      </c>
      <c r="E60" s="96">
        <f t="shared" si="7"/>
        <v>2850.9</v>
      </c>
    </row>
    <row r="61" spans="1:5" ht="31.5">
      <c r="A61" s="126">
        <v>2110720020</v>
      </c>
      <c r="B61" s="100" t="s">
        <v>92</v>
      </c>
      <c r="C61" s="99" t="s">
        <v>93</v>
      </c>
      <c r="D61" s="96">
        <f t="shared" si="7"/>
        <v>3003.1</v>
      </c>
      <c r="E61" s="96">
        <f t="shared" si="7"/>
        <v>2850.9</v>
      </c>
    </row>
    <row r="62" spans="1:5">
      <c r="A62" s="126">
        <v>2110720020</v>
      </c>
      <c r="B62" s="98">
        <v>610</v>
      </c>
      <c r="C62" s="99" t="s">
        <v>99</v>
      </c>
      <c r="D62" s="96">
        <f>' № 7  рп, кцср, квр'!E435</f>
        <v>3003.1</v>
      </c>
      <c r="E62" s="96">
        <f>' № 7  рп, кцср, квр'!F435</f>
        <v>2850.9</v>
      </c>
    </row>
    <row r="63" spans="1:5" ht="63">
      <c r="A63" s="194">
        <v>2110800000</v>
      </c>
      <c r="B63" s="194"/>
      <c r="C63" s="62" t="s">
        <v>390</v>
      </c>
      <c r="D63" s="130">
        <f t="shared" ref="D63:E65" si="8">D64</f>
        <v>3369.2000000000003</v>
      </c>
      <c r="E63" s="130">
        <f t="shared" si="8"/>
        <v>3369.1</v>
      </c>
    </row>
    <row r="64" spans="1:5" ht="31.5">
      <c r="A64" s="194">
        <v>2110820030</v>
      </c>
      <c r="B64" s="194"/>
      <c r="C64" s="200" t="s">
        <v>389</v>
      </c>
      <c r="D64" s="130">
        <f t="shared" si="8"/>
        <v>3369.2000000000003</v>
      </c>
      <c r="E64" s="130">
        <f t="shared" si="8"/>
        <v>3369.1</v>
      </c>
    </row>
    <row r="65" spans="1:5" ht="31.5">
      <c r="A65" s="194">
        <v>2110820030</v>
      </c>
      <c r="B65" s="193" t="s">
        <v>92</v>
      </c>
      <c r="C65" s="200" t="s">
        <v>93</v>
      </c>
      <c r="D65" s="130">
        <f t="shared" si="8"/>
        <v>3369.2000000000003</v>
      </c>
      <c r="E65" s="130">
        <f t="shared" si="8"/>
        <v>3369.1</v>
      </c>
    </row>
    <row r="66" spans="1:5">
      <c r="A66" s="194">
        <v>2110820030</v>
      </c>
      <c r="B66" s="194">
        <v>610</v>
      </c>
      <c r="C66" s="200" t="s">
        <v>99</v>
      </c>
      <c r="D66" s="130">
        <f>' № 7  рп, кцср, квр'!E439+' № 7  рп, кцср, квр'!E366</f>
        <v>3369.2000000000003</v>
      </c>
      <c r="E66" s="130">
        <f>' № 7  рп, кцср, квр'!F439+' № 7  рп, кцср, квр'!F366</f>
        <v>3369.1</v>
      </c>
    </row>
    <row r="67" spans="1:5" ht="31.5">
      <c r="A67" s="176">
        <v>2110900000</v>
      </c>
      <c r="B67" s="176"/>
      <c r="C67" s="131" t="s">
        <v>372</v>
      </c>
      <c r="D67" s="96">
        <f t="shared" ref="D67:E69" si="9">D68</f>
        <v>509.8</v>
      </c>
      <c r="E67" s="96">
        <f t="shared" si="9"/>
        <v>509.8</v>
      </c>
    </row>
    <row r="68" spans="1:5" ht="34.9" customHeight="1">
      <c r="A68" s="176">
        <v>2110918020</v>
      </c>
      <c r="B68" s="176"/>
      <c r="C68" s="115" t="s">
        <v>373</v>
      </c>
      <c r="D68" s="96">
        <f t="shared" si="9"/>
        <v>509.8</v>
      </c>
      <c r="E68" s="96">
        <f t="shared" si="9"/>
        <v>509.8</v>
      </c>
    </row>
    <row r="69" spans="1:5" ht="31.5">
      <c r="A69" s="176">
        <v>2110918020</v>
      </c>
      <c r="B69" s="175" t="s">
        <v>92</v>
      </c>
      <c r="C69" s="177" t="s">
        <v>93</v>
      </c>
      <c r="D69" s="96">
        <f t="shared" si="9"/>
        <v>509.8</v>
      </c>
      <c r="E69" s="96">
        <f t="shared" si="9"/>
        <v>509.8</v>
      </c>
    </row>
    <row r="70" spans="1:5">
      <c r="A70" s="176">
        <v>2110918020</v>
      </c>
      <c r="B70" s="176">
        <v>610</v>
      </c>
      <c r="C70" s="177" t="s">
        <v>99</v>
      </c>
      <c r="D70" s="96">
        <f>' № 7  рп, кцср, квр'!E443</f>
        <v>509.8</v>
      </c>
      <c r="E70" s="96">
        <f>' № 7  рп, кцср, квр'!F443</f>
        <v>509.8</v>
      </c>
    </row>
    <row r="71" spans="1:5" ht="47.25">
      <c r="A71" s="194" t="s">
        <v>387</v>
      </c>
      <c r="B71" s="194"/>
      <c r="C71" s="114" t="s">
        <v>476</v>
      </c>
      <c r="D71" s="96">
        <f t="shared" ref="D71:E73" si="10">D72</f>
        <v>776.8</v>
      </c>
      <c r="E71" s="96">
        <f t="shared" si="10"/>
        <v>776.8</v>
      </c>
    </row>
    <row r="72" spans="1:5" ht="47.25">
      <c r="A72" s="199" t="s">
        <v>386</v>
      </c>
      <c r="B72" s="194"/>
      <c r="C72" s="115" t="s">
        <v>388</v>
      </c>
      <c r="D72" s="96">
        <f t="shared" si="10"/>
        <v>776.8</v>
      </c>
      <c r="E72" s="96">
        <f t="shared" si="10"/>
        <v>776.8</v>
      </c>
    </row>
    <row r="73" spans="1:5" ht="31.5">
      <c r="A73" s="199" t="s">
        <v>386</v>
      </c>
      <c r="B73" s="193" t="s">
        <v>92</v>
      </c>
      <c r="C73" s="195" t="s">
        <v>93</v>
      </c>
      <c r="D73" s="96">
        <f t="shared" si="10"/>
        <v>776.8</v>
      </c>
      <c r="E73" s="96">
        <f t="shared" si="10"/>
        <v>776.8</v>
      </c>
    </row>
    <row r="74" spans="1:5">
      <c r="A74" s="199" t="s">
        <v>386</v>
      </c>
      <c r="B74" s="194">
        <v>610</v>
      </c>
      <c r="C74" s="195" t="s">
        <v>99</v>
      </c>
      <c r="D74" s="96">
        <f>' № 7  рп, кцср, квр'!E447</f>
        <v>776.8</v>
      </c>
      <c r="E74" s="96">
        <f>' № 7  рп, кцср, квр'!F447</f>
        <v>776.8</v>
      </c>
    </row>
    <row r="75" spans="1:5">
      <c r="A75" s="98">
        <v>2120000000</v>
      </c>
      <c r="B75" s="98"/>
      <c r="C75" s="99" t="s">
        <v>116</v>
      </c>
      <c r="D75" s="37">
        <f>D76+D95</f>
        <v>47260.799999999996</v>
      </c>
      <c r="E75" s="37">
        <f>E76+E95</f>
        <v>47260.799999999996</v>
      </c>
    </row>
    <row r="76" spans="1:5" ht="47.25">
      <c r="A76" s="98">
        <v>2120100000</v>
      </c>
      <c r="B76" s="98"/>
      <c r="C76" s="99" t="s">
        <v>117</v>
      </c>
      <c r="D76" s="37">
        <f>D83+D77+D89+D86+D80+D92</f>
        <v>44570.6</v>
      </c>
      <c r="E76" s="37">
        <f>E83+E77+E89+E86+E80+E92</f>
        <v>44570.6</v>
      </c>
    </row>
    <row r="77" spans="1:5" ht="47.25">
      <c r="A77" s="98">
        <v>2120110690</v>
      </c>
      <c r="B77" s="98"/>
      <c r="C77" s="56" t="s">
        <v>230</v>
      </c>
      <c r="D77" s="37">
        <f t="shared" ref="D77:E78" si="11">D78</f>
        <v>13785</v>
      </c>
      <c r="E77" s="37">
        <f t="shared" si="11"/>
        <v>13785</v>
      </c>
    </row>
    <row r="78" spans="1:5" ht="31.5">
      <c r="A78" s="98">
        <v>2120110690</v>
      </c>
      <c r="B78" s="100" t="s">
        <v>92</v>
      </c>
      <c r="C78" s="56" t="s">
        <v>93</v>
      </c>
      <c r="D78" s="37">
        <f t="shared" si="11"/>
        <v>13785</v>
      </c>
      <c r="E78" s="37">
        <f t="shared" si="11"/>
        <v>13785</v>
      </c>
    </row>
    <row r="79" spans="1:5">
      <c r="A79" s="98">
        <v>2120110690</v>
      </c>
      <c r="B79" s="98">
        <v>610</v>
      </c>
      <c r="C79" s="56" t="s">
        <v>99</v>
      </c>
      <c r="D79" s="37">
        <f>' № 7  рп, кцср, квр'!E504</f>
        <v>13785</v>
      </c>
      <c r="E79" s="37">
        <f>' № 7  рп, кцср, квр'!F504</f>
        <v>13785</v>
      </c>
    </row>
    <row r="80" spans="1:5" ht="47.25">
      <c r="A80" s="10" t="s">
        <v>404</v>
      </c>
      <c r="B80" s="10"/>
      <c r="C80" s="42" t="s">
        <v>401</v>
      </c>
      <c r="D80" s="37">
        <f>D81</f>
        <v>170.6</v>
      </c>
      <c r="E80" s="37">
        <f>E81</f>
        <v>170.6</v>
      </c>
    </row>
    <row r="81" spans="1:5" ht="31.5">
      <c r="A81" s="10" t="s">
        <v>404</v>
      </c>
      <c r="B81" s="211" t="s">
        <v>92</v>
      </c>
      <c r="C81" s="213" t="s">
        <v>93</v>
      </c>
      <c r="D81" s="37">
        <f>D82</f>
        <v>170.6</v>
      </c>
      <c r="E81" s="37">
        <f>E82</f>
        <v>170.6</v>
      </c>
    </row>
    <row r="82" spans="1:5">
      <c r="A82" s="10" t="s">
        <v>404</v>
      </c>
      <c r="B82" s="212">
        <v>610</v>
      </c>
      <c r="C82" s="213" t="s">
        <v>99</v>
      </c>
      <c r="D82" s="37">
        <f>' № 7  рп, кцср, квр'!E455+' № 7  рп, кцср, квр'!E507</f>
        <v>170.6</v>
      </c>
      <c r="E82" s="37">
        <f>' № 7  рп, кцср, квр'!F455+' № 7  рп, кцср, квр'!F507</f>
        <v>170.6</v>
      </c>
    </row>
    <row r="83" spans="1:5" ht="31.5">
      <c r="A83" s="98">
        <v>2120120010</v>
      </c>
      <c r="B83" s="98"/>
      <c r="C83" s="99" t="s">
        <v>118</v>
      </c>
      <c r="D83" s="37">
        <f t="shared" ref="D83:E84" si="12">D84</f>
        <v>28695.200000000001</v>
      </c>
      <c r="E83" s="37">
        <f t="shared" si="12"/>
        <v>28695.200000000001</v>
      </c>
    </row>
    <row r="84" spans="1:5" ht="31.5">
      <c r="A84" s="98">
        <v>2120120010</v>
      </c>
      <c r="B84" s="100" t="s">
        <v>92</v>
      </c>
      <c r="C84" s="99" t="s">
        <v>93</v>
      </c>
      <c r="D84" s="37">
        <f t="shared" si="12"/>
        <v>28695.200000000001</v>
      </c>
      <c r="E84" s="37">
        <f t="shared" si="12"/>
        <v>28695.200000000001</v>
      </c>
    </row>
    <row r="85" spans="1:5">
      <c r="A85" s="98">
        <v>2120120010</v>
      </c>
      <c r="B85" s="98">
        <v>610</v>
      </c>
      <c r="C85" s="99" t="s">
        <v>99</v>
      </c>
      <c r="D85" s="37">
        <f>' № 7  рп, кцср, квр'!E510+' № 7  рп, кцср, квр'!E452</f>
        <v>28695.200000000001</v>
      </c>
      <c r="E85" s="37">
        <f>' № 7  рп, кцср, квр'!F510+' № 7  рп, кцср, квр'!F452</f>
        <v>28695.200000000001</v>
      </c>
    </row>
    <row r="86" spans="1:5" ht="31.5">
      <c r="A86" s="167">
        <v>2120120020</v>
      </c>
      <c r="B86" s="167"/>
      <c r="C86" s="168" t="s">
        <v>359</v>
      </c>
      <c r="D86" s="37">
        <f>D87</f>
        <v>1778.8000000000002</v>
      </c>
      <c r="E86" s="37">
        <f>E87</f>
        <v>1778.8</v>
      </c>
    </row>
    <row r="87" spans="1:5" ht="31.5">
      <c r="A87" s="167">
        <v>2120120020</v>
      </c>
      <c r="B87" s="166" t="s">
        <v>92</v>
      </c>
      <c r="C87" s="168" t="s">
        <v>93</v>
      </c>
      <c r="D87" s="37">
        <f>D88</f>
        <v>1778.8000000000002</v>
      </c>
      <c r="E87" s="37">
        <f>E88</f>
        <v>1778.8</v>
      </c>
    </row>
    <row r="88" spans="1:5">
      <c r="A88" s="167">
        <v>2120120020</v>
      </c>
      <c r="B88" s="167">
        <v>610</v>
      </c>
      <c r="C88" s="168" t="s">
        <v>99</v>
      </c>
      <c r="D88" s="37">
        <f>' № 7  рп, кцср, квр'!E513</f>
        <v>1778.8000000000002</v>
      </c>
      <c r="E88" s="37">
        <f>' № 7  рп, кцср, квр'!F513</f>
        <v>1778.8</v>
      </c>
    </row>
    <row r="89" spans="1:5" ht="47.25">
      <c r="A89" s="98" t="s">
        <v>298</v>
      </c>
      <c r="B89" s="98"/>
      <c r="C89" s="56" t="s">
        <v>239</v>
      </c>
      <c r="D89" s="37">
        <f t="shared" ref="D89:E90" si="13">D90</f>
        <v>139.30000000000001</v>
      </c>
      <c r="E89" s="37">
        <f t="shared" si="13"/>
        <v>139.30000000000001</v>
      </c>
    </row>
    <row r="90" spans="1:5" ht="31.5">
      <c r="A90" s="98" t="s">
        <v>298</v>
      </c>
      <c r="B90" s="100" t="s">
        <v>92</v>
      </c>
      <c r="C90" s="56" t="s">
        <v>93</v>
      </c>
      <c r="D90" s="37">
        <f t="shared" si="13"/>
        <v>139.30000000000001</v>
      </c>
      <c r="E90" s="37">
        <f t="shared" si="13"/>
        <v>139.30000000000001</v>
      </c>
    </row>
    <row r="91" spans="1:5">
      <c r="A91" s="98" t="s">
        <v>298</v>
      </c>
      <c r="B91" s="98">
        <v>610</v>
      </c>
      <c r="C91" s="56" t="s">
        <v>99</v>
      </c>
      <c r="D91" s="37">
        <f>' № 7  рп, кцср, квр'!E516</f>
        <v>139.30000000000001</v>
      </c>
      <c r="E91" s="37">
        <f>' № 7  рп, кцср, квр'!F516</f>
        <v>139.30000000000001</v>
      </c>
    </row>
    <row r="92" spans="1:5" ht="47.25">
      <c r="A92" s="10" t="s">
        <v>405</v>
      </c>
      <c r="B92" s="11"/>
      <c r="C92" s="213" t="s">
        <v>403</v>
      </c>
      <c r="D92" s="37">
        <f>D93</f>
        <v>1.7000000000000002</v>
      </c>
      <c r="E92" s="37">
        <f>E93</f>
        <v>1.7000000000000002</v>
      </c>
    </row>
    <row r="93" spans="1:5" ht="31.5">
      <c r="A93" s="10" t="s">
        <v>405</v>
      </c>
      <c r="B93" s="211" t="s">
        <v>92</v>
      </c>
      <c r="C93" s="213" t="s">
        <v>93</v>
      </c>
      <c r="D93" s="37">
        <f>D94</f>
        <v>1.7000000000000002</v>
      </c>
      <c r="E93" s="37">
        <f>E94</f>
        <v>1.7000000000000002</v>
      </c>
    </row>
    <row r="94" spans="1:5">
      <c r="A94" s="10" t="s">
        <v>405</v>
      </c>
      <c r="B94" s="212">
        <v>610</v>
      </c>
      <c r="C94" s="213" t="s">
        <v>99</v>
      </c>
      <c r="D94" s="37">
        <f>' № 7  рп, кцср, квр'!E458+' № 7  рп, кцср, квр'!E517</f>
        <v>1.7000000000000002</v>
      </c>
      <c r="E94" s="37">
        <f>' № 7  рп, кцср, квр'!F458+' № 7  рп, кцср, квр'!F517</f>
        <v>1.7000000000000002</v>
      </c>
    </row>
    <row r="95" spans="1:5" ht="31.5">
      <c r="A95" s="123" t="s">
        <v>320</v>
      </c>
      <c r="B95" s="123"/>
      <c r="C95" s="56" t="s">
        <v>321</v>
      </c>
      <c r="D95" s="37">
        <f t="shared" ref="D95:E97" si="14">D96</f>
        <v>2690.2000000000003</v>
      </c>
      <c r="E95" s="37">
        <f t="shared" si="14"/>
        <v>2690.2</v>
      </c>
    </row>
    <row r="96" spans="1:5" ht="47.25">
      <c r="A96" s="151" t="s">
        <v>346</v>
      </c>
      <c r="B96" s="151"/>
      <c r="C96" s="56" t="s">
        <v>347</v>
      </c>
      <c r="D96" s="21">
        <f t="shared" si="14"/>
        <v>2690.2000000000003</v>
      </c>
      <c r="E96" s="21">
        <f t="shared" si="14"/>
        <v>2690.2</v>
      </c>
    </row>
    <row r="97" spans="1:5" ht="31.5">
      <c r="A97" s="151" t="s">
        <v>346</v>
      </c>
      <c r="B97" s="150" t="s">
        <v>92</v>
      </c>
      <c r="C97" s="56" t="s">
        <v>93</v>
      </c>
      <c r="D97" s="21">
        <f t="shared" si="14"/>
        <v>2690.2000000000003</v>
      </c>
      <c r="E97" s="21">
        <f t="shared" si="14"/>
        <v>2690.2</v>
      </c>
    </row>
    <row r="98" spans="1:5">
      <c r="A98" s="151" t="s">
        <v>346</v>
      </c>
      <c r="B98" s="151">
        <v>610</v>
      </c>
      <c r="C98" s="56" t="s">
        <v>99</v>
      </c>
      <c r="D98" s="21">
        <f>' № 7  рп, кцср, квр'!E523</f>
        <v>2690.2000000000003</v>
      </c>
      <c r="E98" s="21">
        <f>' № 7  рп, кцср, квр'!F523</f>
        <v>2690.2</v>
      </c>
    </row>
    <row r="99" spans="1:5" ht="31.5">
      <c r="A99" s="100">
        <v>2130000000</v>
      </c>
      <c r="B99" s="24"/>
      <c r="C99" s="49" t="s">
        <v>109</v>
      </c>
      <c r="D99" s="37">
        <f>D100+D110+D114+D118</f>
        <v>1014.9</v>
      </c>
      <c r="E99" s="37">
        <f>E100+E110+E114+E118</f>
        <v>981.4</v>
      </c>
    </row>
    <row r="100" spans="1:5" ht="31.5">
      <c r="A100" s="98">
        <v>2130100000</v>
      </c>
      <c r="B100" s="24"/>
      <c r="C100" s="49" t="s">
        <v>202</v>
      </c>
      <c r="D100" s="37">
        <f>D101+D107+D104</f>
        <v>285.8</v>
      </c>
      <c r="E100" s="37">
        <f>E101+E107+E104</f>
        <v>253.8</v>
      </c>
    </row>
    <row r="101" spans="1:5" ht="31.5">
      <c r="A101" s="100">
        <v>2130120260</v>
      </c>
      <c r="B101" s="24"/>
      <c r="C101" s="49" t="s">
        <v>203</v>
      </c>
      <c r="D101" s="37">
        <f t="shared" ref="D101:E102" si="15">D102</f>
        <v>125.8</v>
      </c>
      <c r="E101" s="37">
        <f t="shared" si="15"/>
        <v>125.8</v>
      </c>
    </row>
    <row r="102" spans="1:5" ht="31.5">
      <c r="A102" s="100">
        <v>2130120260</v>
      </c>
      <c r="B102" s="98" t="s">
        <v>67</v>
      </c>
      <c r="C102" s="49" t="s">
        <v>90</v>
      </c>
      <c r="D102" s="37">
        <f t="shared" si="15"/>
        <v>125.8</v>
      </c>
      <c r="E102" s="37">
        <f t="shared" si="15"/>
        <v>125.8</v>
      </c>
    </row>
    <row r="103" spans="1:5" ht="31.5">
      <c r="A103" s="100">
        <v>2130120260</v>
      </c>
      <c r="B103" s="98">
        <v>240</v>
      </c>
      <c r="C103" s="49" t="s">
        <v>216</v>
      </c>
      <c r="D103" s="37">
        <f>' № 7  рп, кцср, квр'!E580</f>
        <v>125.8</v>
      </c>
      <c r="E103" s="37">
        <f>' № 7  рп, кцср, квр'!F580</f>
        <v>125.8</v>
      </c>
    </row>
    <row r="104" spans="1:5" ht="31.5">
      <c r="A104" s="100">
        <v>2130111080</v>
      </c>
      <c r="B104" s="98"/>
      <c r="C104" s="99" t="s">
        <v>235</v>
      </c>
      <c r="D104" s="37">
        <f t="shared" ref="D104:E105" si="16">D105</f>
        <v>130.4</v>
      </c>
      <c r="E104" s="37">
        <f t="shared" si="16"/>
        <v>104.3</v>
      </c>
    </row>
    <row r="105" spans="1:5" ht="31.5">
      <c r="A105" s="100">
        <v>2130111080</v>
      </c>
      <c r="B105" s="100" t="s">
        <v>92</v>
      </c>
      <c r="C105" s="99" t="s">
        <v>93</v>
      </c>
      <c r="D105" s="37">
        <f t="shared" si="16"/>
        <v>130.4</v>
      </c>
      <c r="E105" s="37">
        <f t="shared" si="16"/>
        <v>104.3</v>
      </c>
    </row>
    <row r="106" spans="1:5">
      <c r="A106" s="100">
        <v>2130111080</v>
      </c>
      <c r="B106" s="98">
        <v>610</v>
      </c>
      <c r="C106" s="99" t="s">
        <v>99</v>
      </c>
      <c r="D106" s="37">
        <f>' № 7  рп, кцср, квр'!E463</f>
        <v>130.4</v>
      </c>
      <c r="E106" s="37">
        <f>' № 7  рп, кцср, квр'!F463</f>
        <v>104.3</v>
      </c>
    </row>
    <row r="107" spans="1:5" ht="31.5">
      <c r="A107" s="100" t="s">
        <v>309</v>
      </c>
      <c r="B107" s="98"/>
      <c r="C107" s="99" t="s">
        <v>221</v>
      </c>
      <c r="D107" s="37">
        <f t="shared" ref="D107:E108" si="17">D108</f>
        <v>29.6</v>
      </c>
      <c r="E107" s="37">
        <f t="shared" si="17"/>
        <v>23.7</v>
      </c>
    </row>
    <row r="108" spans="1:5" ht="31.5">
      <c r="A108" s="100" t="s">
        <v>309</v>
      </c>
      <c r="B108" s="100" t="s">
        <v>92</v>
      </c>
      <c r="C108" s="99" t="s">
        <v>93</v>
      </c>
      <c r="D108" s="37">
        <f t="shared" si="17"/>
        <v>29.6</v>
      </c>
      <c r="E108" s="37">
        <f t="shared" si="17"/>
        <v>23.7</v>
      </c>
    </row>
    <row r="109" spans="1:5">
      <c r="A109" s="100" t="s">
        <v>309</v>
      </c>
      <c r="B109" s="98">
        <v>610</v>
      </c>
      <c r="C109" s="99" t="s">
        <v>99</v>
      </c>
      <c r="D109" s="37">
        <f>' № 7  рп, кцср, квр'!E466</f>
        <v>29.6</v>
      </c>
      <c r="E109" s="37">
        <f>' № 7  рп, кцср, квр'!F466</f>
        <v>23.7</v>
      </c>
    </row>
    <row r="110" spans="1:5" ht="31.5">
      <c r="A110" s="98">
        <v>2130200000</v>
      </c>
      <c r="B110" s="98"/>
      <c r="C110" s="49" t="s">
        <v>165</v>
      </c>
      <c r="D110" s="37">
        <f t="shared" ref="D110:E112" si="18">D111</f>
        <v>114.2</v>
      </c>
      <c r="E110" s="37">
        <f t="shared" si="18"/>
        <v>113.8</v>
      </c>
    </row>
    <row r="111" spans="1:5" ht="31.5">
      <c r="A111" s="98">
        <v>2130220270</v>
      </c>
      <c r="B111" s="98"/>
      <c r="C111" s="49" t="s">
        <v>166</v>
      </c>
      <c r="D111" s="37">
        <f t="shared" si="18"/>
        <v>114.2</v>
      </c>
      <c r="E111" s="37">
        <f t="shared" si="18"/>
        <v>113.8</v>
      </c>
    </row>
    <row r="112" spans="1:5" ht="31.5">
      <c r="A112" s="98">
        <v>2130220270</v>
      </c>
      <c r="B112" s="98" t="s">
        <v>67</v>
      </c>
      <c r="C112" s="49" t="s">
        <v>90</v>
      </c>
      <c r="D112" s="37">
        <f t="shared" si="18"/>
        <v>114.2</v>
      </c>
      <c r="E112" s="37">
        <f t="shared" si="18"/>
        <v>113.8</v>
      </c>
    </row>
    <row r="113" spans="1:6" ht="31.5">
      <c r="A113" s="98">
        <v>2130220270</v>
      </c>
      <c r="B113" s="98">
        <v>240</v>
      </c>
      <c r="C113" s="49" t="s">
        <v>216</v>
      </c>
      <c r="D113" s="37">
        <f>' № 7  рп, кцср, квр'!E584+' № 7  рп, кцср, квр'!E550</f>
        <v>114.2</v>
      </c>
      <c r="E113" s="37">
        <f>' № 7  рп, кцср, квр'!F584+' № 7  рп, кцср, квр'!F550</f>
        <v>113.8</v>
      </c>
    </row>
    <row r="114" spans="1:6" ht="47.25">
      <c r="A114" s="100">
        <v>2130300000</v>
      </c>
      <c r="B114" s="24"/>
      <c r="C114" s="49" t="s">
        <v>110</v>
      </c>
      <c r="D114" s="37">
        <f t="shared" ref="D114:E116" si="19">D115</f>
        <v>545.1</v>
      </c>
      <c r="E114" s="37">
        <f t="shared" si="19"/>
        <v>544</v>
      </c>
    </row>
    <row r="115" spans="1:6" ht="31.5">
      <c r="A115" s="100">
        <v>2130320280</v>
      </c>
      <c r="B115" s="24"/>
      <c r="C115" s="49" t="s">
        <v>111</v>
      </c>
      <c r="D115" s="37">
        <f t="shared" si="19"/>
        <v>545.1</v>
      </c>
      <c r="E115" s="37">
        <f t="shared" si="19"/>
        <v>544</v>
      </c>
    </row>
    <row r="116" spans="1:6" ht="31.5">
      <c r="A116" s="100">
        <v>2130320280</v>
      </c>
      <c r="B116" s="100" t="s">
        <v>92</v>
      </c>
      <c r="C116" s="99" t="s">
        <v>93</v>
      </c>
      <c r="D116" s="37">
        <f t="shared" si="19"/>
        <v>545.1</v>
      </c>
      <c r="E116" s="37">
        <f t="shared" si="19"/>
        <v>544</v>
      </c>
    </row>
    <row r="117" spans="1:6">
      <c r="A117" s="100">
        <v>2130320280</v>
      </c>
      <c r="B117" s="98">
        <v>610</v>
      </c>
      <c r="C117" s="99" t="s">
        <v>99</v>
      </c>
      <c r="D117" s="37">
        <f>' № 7  рп, кцср, квр'!E603+' № 7  рп, кцср, квр'!E470</f>
        <v>545.1</v>
      </c>
      <c r="E117" s="37">
        <f>' № 7  рп, кцср, квр'!F603+' № 7  рп, кцср, квр'!F470</f>
        <v>544</v>
      </c>
    </row>
    <row r="118" spans="1:6" ht="31.5">
      <c r="A118" s="98">
        <v>2130400000</v>
      </c>
      <c r="B118" s="98"/>
      <c r="C118" s="49" t="s">
        <v>131</v>
      </c>
      <c r="D118" s="37">
        <f t="shared" ref="D118:E120" si="20">D119</f>
        <v>69.8</v>
      </c>
      <c r="E118" s="37">
        <f t="shared" si="20"/>
        <v>69.8</v>
      </c>
    </row>
    <row r="119" spans="1:6" ht="31.5">
      <c r="A119" s="98">
        <v>2130420290</v>
      </c>
      <c r="B119" s="98"/>
      <c r="C119" s="49" t="s">
        <v>132</v>
      </c>
      <c r="D119" s="37">
        <f t="shared" si="20"/>
        <v>69.8</v>
      </c>
      <c r="E119" s="37">
        <f t="shared" si="20"/>
        <v>69.8</v>
      </c>
    </row>
    <row r="120" spans="1:6" ht="31.5">
      <c r="A120" s="98">
        <v>2130420290</v>
      </c>
      <c r="B120" s="100" t="s">
        <v>67</v>
      </c>
      <c r="C120" s="99" t="s">
        <v>90</v>
      </c>
      <c r="D120" s="37">
        <f t="shared" si="20"/>
        <v>69.8</v>
      </c>
      <c r="E120" s="37">
        <f t="shared" si="20"/>
        <v>69.8</v>
      </c>
    </row>
    <row r="121" spans="1:6" ht="31.5">
      <c r="A121" s="98">
        <v>2130420290</v>
      </c>
      <c r="B121" s="98">
        <v>240</v>
      </c>
      <c r="C121" s="99" t="s">
        <v>216</v>
      </c>
      <c r="D121" s="37">
        <f>' № 7  рп, кцср, квр'!E554</f>
        <v>69.8</v>
      </c>
      <c r="E121" s="37">
        <f>' № 7  рп, кцср, квр'!F554</f>
        <v>69.8</v>
      </c>
    </row>
    <row r="122" spans="1:6" s="34" customFormat="1" ht="47.25">
      <c r="A122" s="28">
        <v>2200000000</v>
      </c>
      <c r="B122" s="16"/>
      <c r="C122" s="53" t="s">
        <v>326</v>
      </c>
      <c r="D122" s="36">
        <f>D123+D141+D188+D239+D164</f>
        <v>104758.89999999998</v>
      </c>
      <c r="E122" s="36">
        <f>E123+E141+E188+E239+E164</f>
        <v>103677.5</v>
      </c>
      <c r="F122" s="83"/>
    </row>
    <row r="123" spans="1:6">
      <c r="A123" s="100">
        <v>2210000000</v>
      </c>
      <c r="B123" s="98"/>
      <c r="C123" s="99" t="s">
        <v>175</v>
      </c>
      <c r="D123" s="39">
        <f>D124+D134</f>
        <v>17070.5</v>
      </c>
      <c r="E123" s="39">
        <f>E124+E134</f>
        <v>17070.5</v>
      </c>
    </row>
    <row r="124" spans="1:6" ht="31.5">
      <c r="A124" s="100">
        <v>2210100000</v>
      </c>
      <c r="B124" s="98"/>
      <c r="C124" s="99" t="s">
        <v>176</v>
      </c>
      <c r="D124" s="37">
        <f>D128+D125+D131</f>
        <v>16790.5</v>
      </c>
      <c r="E124" s="37">
        <f>E128+E125+E131</f>
        <v>16790.5</v>
      </c>
    </row>
    <row r="125" spans="1:6" ht="47.25">
      <c r="A125" s="100">
        <v>2210110680</v>
      </c>
      <c r="B125" s="98"/>
      <c r="C125" s="62" t="s">
        <v>231</v>
      </c>
      <c r="D125" s="37">
        <f t="shared" ref="D125:E126" si="21">D126</f>
        <v>8599.9</v>
      </c>
      <c r="E125" s="37">
        <f t="shared" si="21"/>
        <v>8599.9</v>
      </c>
    </row>
    <row r="126" spans="1:6" ht="31.5">
      <c r="A126" s="100">
        <v>2210110680</v>
      </c>
      <c r="B126" s="100" t="s">
        <v>92</v>
      </c>
      <c r="C126" s="56" t="s">
        <v>93</v>
      </c>
      <c r="D126" s="37">
        <f t="shared" si="21"/>
        <v>8599.9</v>
      </c>
      <c r="E126" s="37">
        <f t="shared" si="21"/>
        <v>8599.9</v>
      </c>
    </row>
    <row r="127" spans="1:6">
      <c r="A127" s="100">
        <v>2210110680</v>
      </c>
      <c r="B127" s="98">
        <v>610</v>
      </c>
      <c r="C127" s="56" t="s">
        <v>99</v>
      </c>
      <c r="D127" s="37">
        <f>' № 7  рп, кцср, квр'!E609</f>
        <v>8599.9</v>
      </c>
      <c r="E127" s="37">
        <f>' № 7  рп, кцср, квр'!F609</f>
        <v>8599.9</v>
      </c>
    </row>
    <row r="128" spans="1:6" ht="31.5">
      <c r="A128" s="100">
        <v>2210120010</v>
      </c>
      <c r="B128" s="98"/>
      <c r="C128" s="99" t="s">
        <v>118</v>
      </c>
      <c r="D128" s="37">
        <f t="shared" ref="D128:E129" si="22">D129</f>
        <v>8103.6</v>
      </c>
      <c r="E128" s="37">
        <f t="shared" si="22"/>
        <v>8103.6</v>
      </c>
    </row>
    <row r="129" spans="1:5" ht="31.5">
      <c r="A129" s="100">
        <v>2210120010</v>
      </c>
      <c r="B129" s="100" t="s">
        <v>92</v>
      </c>
      <c r="C129" s="99" t="s">
        <v>93</v>
      </c>
      <c r="D129" s="37">
        <f t="shared" si="22"/>
        <v>8103.6</v>
      </c>
      <c r="E129" s="37">
        <f t="shared" si="22"/>
        <v>8103.6</v>
      </c>
    </row>
    <row r="130" spans="1:5">
      <c r="A130" s="100">
        <v>2210120010</v>
      </c>
      <c r="B130" s="98">
        <v>610</v>
      </c>
      <c r="C130" s="99" t="s">
        <v>99</v>
      </c>
      <c r="D130" s="37">
        <f>' № 7  рп, кцср, квр'!E612</f>
        <v>8103.6</v>
      </c>
      <c r="E130" s="37">
        <f>' № 7  рп, кцср, квр'!F612</f>
        <v>8103.6</v>
      </c>
    </row>
    <row r="131" spans="1:5" ht="29.25" customHeight="1">
      <c r="A131" s="100" t="s">
        <v>302</v>
      </c>
      <c r="B131" s="98"/>
      <c r="C131" s="62" t="s">
        <v>240</v>
      </c>
      <c r="D131" s="37">
        <f t="shared" ref="D131:E132" si="23">D132</f>
        <v>87</v>
      </c>
      <c r="E131" s="37">
        <f t="shared" si="23"/>
        <v>87</v>
      </c>
    </row>
    <row r="132" spans="1:5" ht="31.5">
      <c r="A132" s="100" t="s">
        <v>302</v>
      </c>
      <c r="B132" s="100" t="s">
        <v>92</v>
      </c>
      <c r="C132" s="56" t="s">
        <v>93</v>
      </c>
      <c r="D132" s="37">
        <f t="shared" si="23"/>
        <v>87</v>
      </c>
      <c r="E132" s="37">
        <f t="shared" si="23"/>
        <v>87</v>
      </c>
    </row>
    <row r="133" spans="1:5">
      <c r="A133" s="100" t="s">
        <v>302</v>
      </c>
      <c r="B133" s="98">
        <v>610</v>
      </c>
      <c r="C133" s="56" t="s">
        <v>99</v>
      </c>
      <c r="D133" s="37">
        <f>' № 7  рп, кцср, квр'!E615</f>
        <v>87</v>
      </c>
      <c r="E133" s="37">
        <f>' № 7  рп, кцср, квр'!F615</f>
        <v>87</v>
      </c>
    </row>
    <row r="134" spans="1:5" ht="31.5">
      <c r="A134" s="128">
        <v>2210200000</v>
      </c>
      <c r="B134" s="98"/>
      <c r="C134" s="99" t="s">
        <v>177</v>
      </c>
      <c r="D134" s="37">
        <f>D135+D138</f>
        <v>280</v>
      </c>
      <c r="E134" s="37">
        <f>E135+E138</f>
        <v>280</v>
      </c>
    </row>
    <row r="135" spans="1:5">
      <c r="A135" s="150">
        <v>2210220010</v>
      </c>
      <c r="B135" s="151"/>
      <c r="C135" s="152" t="s">
        <v>348</v>
      </c>
      <c r="D135" s="37">
        <f t="shared" ref="D135:E136" si="24">D136</f>
        <v>40</v>
      </c>
      <c r="E135" s="37">
        <f t="shared" si="24"/>
        <v>40</v>
      </c>
    </row>
    <row r="136" spans="1:5" ht="31.5">
      <c r="A136" s="150">
        <v>2210220010</v>
      </c>
      <c r="B136" s="150" t="s">
        <v>92</v>
      </c>
      <c r="C136" s="152" t="s">
        <v>93</v>
      </c>
      <c r="D136" s="37">
        <f t="shared" si="24"/>
        <v>40</v>
      </c>
      <c r="E136" s="37">
        <f t="shared" si="24"/>
        <v>40</v>
      </c>
    </row>
    <row r="137" spans="1:5">
      <c r="A137" s="150">
        <v>2210220010</v>
      </c>
      <c r="B137" s="151">
        <v>610</v>
      </c>
      <c r="C137" s="152" t="s">
        <v>99</v>
      </c>
      <c r="D137" s="37">
        <f>' № 7  рп, кцср, квр'!E619</f>
        <v>40</v>
      </c>
      <c r="E137" s="37">
        <f>' № 7  рп, кцср, квр'!F619</f>
        <v>40</v>
      </c>
    </row>
    <row r="138" spans="1:5" ht="47.25">
      <c r="A138" s="181" t="s">
        <v>378</v>
      </c>
      <c r="B138" s="182"/>
      <c r="C138" s="183" t="s">
        <v>377</v>
      </c>
      <c r="D138" s="37">
        <f>D139</f>
        <v>240</v>
      </c>
      <c r="E138" s="37">
        <f>E139</f>
        <v>240</v>
      </c>
    </row>
    <row r="139" spans="1:5" ht="31.5">
      <c r="A139" s="181" t="s">
        <v>378</v>
      </c>
      <c r="B139" s="181" t="s">
        <v>92</v>
      </c>
      <c r="C139" s="183" t="s">
        <v>93</v>
      </c>
      <c r="D139" s="37">
        <f>D140</f>
        <v>240</v>
      </c>
      <c r="E139" s="37">
        <f>E140</f>
        <v>240</v>
      </c>
    </row>
    <row r="140" spans="1:5">
      <c r="A140" s="181" t="s">
        <v>378</v>
      </c>
      <c r="B140" s="182">
        <v>610</v>
      </c>
      <c r="C140" s="183" t="s">
        <v>99</v>
      </c>
      <c r="D140" s="37">
        <f>' № 7  рп, кцср, квр'!E620</f>
        <v>240</v>
      </c>
      <c r="E140" s="37">
        <f>' № 7  рп, кцср, квр'!F620</f>
        <v>240</v>
      </c>
    </row>
    <row r="141" spans="1:5" ht="31.5">
      <c r="A141" s="100">
        <v>2220000000</v>
      </c>
      <c r="B141" s="98"/>
      <c r="C141" s="99" t="s">
        <v>133</v>
      </c>
      <c r="D141" s="37">
        <f>D142+D152+D156+D160</f>
        <v>36226.399999999994</v>
      </c>
      <c r="E141" s="37">
        <f>E142+E152+E156+E160</f>
        <v>35410.1</v>
      </c>
    </row>
    <row r="142" spans="1:5" ht="31.5">
      <c r="A142" s="98">
        <v>2220100000</v>
      </c>
      <c r="B142" s="98"/>
      <c r="C142" s="99" t="s">
        <v>178</v>
      </c>
      <c r="D142" s="37">
        <f>D146+D143+D149</f>
        <v>32486.6</v>
      </c>
      <c r="E142" s="37">
        <f>E146+E143+E149</f>
        <v>32486.600000000002</v>
      </c>
    </row>
    <row r="143" spans="1:5" ht="47.25">
      <c r="A143" s="98">
        <v>2220110680</v>
      </c>
      <c r="B143" s="98"/>
      <c r="C143" s="62" t="s">
        <v>231</v>
      </c>
      <c r="D143" s="37">
        <f t="shared" ref="D143:E144" si="25">D144</f>
        <v>17134.400000000001</v>
      </c>
      <c r="E143" s="37">
        <f t="shared" si="25"/>
        <v>17134.400000000001</v>
      </c>
    </row>
    <row r="144" spans="1:5" ht="31.5">
      <c r="A144" s="98">
        <v>2220110680</v>
      </c>
      <c r="B144" s="100" t="s">
        <v>92</v>
      </c>
      <c r="C144" s="56" t="s">
        <v>93</v>
      </c>
      <c r="D144" s="37">
        <f t="shared" si="25"/>
        <v>17134.400000000001</v>
      </c>
      <c r="E144" s="37">
        <f t="shared" si="25"/>
        <v>17134.400000000001</v>
      </c>
    </row>
    <row r="145" spans="1:5">
      <c r="A145" s="98">
        <v>2220110680</v>
      </c>
      <c r="B145" s="98">
        <v>610</v>
      </c>
      <c r="C145" s="56" t="s">
        <v>99</v>
      </c>
      <c r="D145" s="37">
        <f>' № 7  рп, кцср, квр'!E627</f>
        <v>17134.400000000001</v>
      </c>
      <c r="E145" s="37">
        <f>' № 7  рп, кцср, квр'!F627</f>
        <v>17134.400000000001</v>
      </c>
    </row>
    <row r="146" spans="1:5" ht="31.5">
      <c r="A146" s="98">
        <v>2220120010</v>
      </c>
      <c r="B146" s="98"/>
      <c r="C146" s="99" t="s">
        <v>118</v>
      </c>
      <c r="D146" s="37">
        <f t="shared" ref="D146:E147" si="26">D147</f>
        <v>15179.199999999999</v>
      </c>
      <c r="E146" s="37">
        <f t="shared" si="26"/>
        <v>15179.2</v>
      </c>
    </row>
    <row r="147" spans="1:5" ht="31.5">
      <c r="A147" s="98">
        <v>2220120010</v>
      </c>
      <c r="B147" s="100" t="s">
        <v>92</v>
      </c>
      <c r="C147" s="99" t="s">
        <v>93</v>
      </c>
      <c r="D147" s="37">
        <f t="shared" si="26"/>
        <v>15179.199999999999</v>
      </c>
      <c r="E147" s="37">
        <f t="shared" si="26"/>
        <v>15179.2</v>
      </c>
    </row>
    <row r="148" spans="1:5">
      <c r="A148" s="98">
        <v>2220120010</v>
      </c>
      <c r="B148" s="98">
        <v>610</v>
      </c>
      <c r="C148" s="99" t="s">
        <v>99</v>
      </c>
      <c r="D148" s="37">
        <f>' № 7  рп, кцср, квр'!E630</f>
        <v>15179.199999999999</v>
      </c>
      <c r="E148" s="37">
        <f>' № 7  рп, кцср, квр'!F630</f>
        <v>15179.2</v>
      </c>
    </row>
    <row r="149" spans="1:5" ht="30.75" customHeight="1">
      <c r="A149" s="98" t="s">
        <v>303</v>
      </c>
      <c r="B149" s="98"/>
      <c r="C149" s="62" t="s">
        <v>240</v>
      </c>
      <c r="D149" s="37">
        <f t="shared" ref="D149:E150" si="27">D150</f>
        <v>173</v>
      </c>
      <c r="E149" s="37">
        <f t="shared" si="27"/>
        <v>173</v>
      </c>
    </row>
    <row r="150" spans="1:5" ht="31.5">
      <c r="A150" s="98" t="s">
        <v>303</v>
      </c>
      <c r="B150" s="100" t="s">
        <v>92</v>
      </c>
      <c r="C150" s="56" t="s">
        <v>93</v>
      </c>
      <c r="D150" s="37">
        <f t="shared" si="27"/>
        <v>173</v>
      </c>
      <c r="E150" s="37">
        <f t="shared" si="27"/>
        <v>173</v>
      </c>
    </row>
    <row r="151" spans="1:5">
      <c r="A151" s="98" t="s">
        <v>303</v>
      </c>
      <c r="B151" s="98">
        <v>610</v>
      </c>
      <c r="C151" s="56" t="s">
        <v>99</v>
      </c>
      <c r="D151" s="37">
        <f>' № 7  рп, кцср, квр'!E633</f>
        <v>173</v>
      </c>
      <c r="E151" s="37">
        <f>' № 7  рп, кцср, квр'!F633</f>
        <v>173</v>
      </c>
    </row>
    <row r="152" spans="1:5" ht="31.5">
      <c r="A152" s="98">
        <v>2220200000</v>
      </c>
      <c r="B152" s="98"/>
      <c r="C152" s="99" t="s">
        <v>179</v>
      </c>
      <c r="D152" s="37">
        <f t="shared" ref="D152:E154" si="28">D153</f>
        <v>2677</v>
      </c>
      <c r="E152" s="37">
        <f t="shared" si="28"/>
        <v>1860.8</v>
      </c>
    </row>
    <row r="153" spans="1:5">
      <c r="A153" s="129">
        <v>2220220320</v>
      </c>
      <c r="B153" s="98"/>
      <c r="C153" s="99" t="s">
        <v>134</v>
      </c>
      <c r="D153" s="37">
        <f t="shared" si="28"/>
        <v>2677</v>
      </c>
      <c r="E153" s="37">
        <f t="shared" si="28"/>
        <v>1860.8</v>
      </c>
    </row>
    <row r="154" spans="1:5" ht="31.5">
      <c r="A154" s="98">
        <v>2220220320</v>
      </c>
      <c r="B154" s="100" t="s">
        <v>92</v>
      </c>
      <c r="C154" s="99" t="s">
        <v>93</v>
      </c>
      <c r="D154" s="37">
        <f t="shared" si="28"/>
        <v>2677</v>
      </c>
      <c r="E154" s="37">
        <f t="shared" si="28"/>
        <v>1860.8</v>
      </c>
    </row>
    <row r="155" spans="1:5">
      <c r="A155" s="98">
        <v>2220220320</v>
      </c>
      <c r="B155" s="98">
        <v>610</v>
      </c>
      <c r="C155" s="99" t="s">
        <v>99</v>
      </c>
      <c r="D155" s="37">
        <f>' № 7  рп, кцср, квр'!E637</f>
        <v>2677</v>
      </c>
      <c r="E155" s="37">
        <f>' № 7  рп, кцср, квр'!F637</f>
        <v>1860.8</v>
      </c>
    </row>
    <row r="156" spans="1:5" ht="47.25">
      <c r="A156" s="129">
        <v>2220300000</v>
      </c>
      <c r="B156" s="123"/>
      <c r="C156" s="56" t="s">
        <v>322</v>
      </c>
      <c r="D156" s="37">
        <f t="shared" ref="D156:E158" si="29">D157</f>
        <v>600.1</v>
      </c>
      <c r="E156" s="37">
        <f t="shared" si="29"/>
        <v>600</v>
      </c>
    </row>
    <row r="157" spans="1:5" ht="47.25">
      <c r="A157" s="123" t="s">
        <v>323</v>
      </c>
      <c r="B157" s="123"/>
      <c r="C157" s="56" t="s">
        <v>337</v>
      </c>
      <c r="D157" s="37">
        <f t="shared" si="29"/>
        <v>600.1</v>
      </c>
      <c r="E157" s="37">
        <f t="shared" si="29"/>
        <v>600</v>
      </c>
    </row>
    <row r="158" spans="1:5" ht="31.5">
      <c r="A158" s="123" t="s">
        <v>323</v>
      </c>
      <c r="B158" s="122" t="s">
        <v>92</v>
      </c>
      <c r="C158" s="56" t="s">
        <v>93</v>
      </c>
      <c r="D158" s="37">
        <f t="shared" si="29"/>
        <v>600.1</v>
      </c>
      <c r="E158" s="37">
        <f t="shared" si="29"/>
        <v>600</v>
      </c>
    </row>
    <row r="159" spans="1:5">
      <c r="A159" s="123" t="s">
        <v>323</v>
      </c>
      <c r="B159" s="123">
        <v>610</v>
      </c>
      <c r="C159" s="56" t="s">
        <v>99</v>
      </c>
      <c r="D159" s="37">
        <f>' № 7  рп, кцср, квр'!E641</f>
        <v>600.1</v>
      </c>
      <c r="E159" s="37">
        <f>' № 7  рп, кцср, квр'!F641</f>
        <v>600</v>
      </c>
    </row>
    <row r="160" spans="1:5" ht="47.25">
      <c r="A160" s="202">
        <v>2220400000</v>
      </c>
      <c r="B160" s="202"/>
      <c r="C160" s="56" t="s">
        <v>394</v>
      </c>
      <c r="D160" s="37">
        <f t="shared" ref="D160:E162" si="30">D161</f>
        <v>462.7</v>
      </c>
      <c r="E160" s="37">
        <f t="shared" si="30"/>
        <v>462.7</v>
      </c>
    </row>
    <row r="161" spans="1:5" ht="31.5">
      <c r="A161" s="202">
        <v>2220420020</v>
      </c>
      <c r="B161" s="202"/>
      <c r="C161" s="56" t="s">
        <v>358</v>
      </c>
      <c r="D161" s="37">
        <f t="shared" si="30"/>
        <v>462.7</v>
      </c>
      <c r="E161" s="37">
        <f t="shared" si="30"/>
        <v>462.7</v>
      </c>
    </row>
    <row r="162" spans="1:5" ht="31.5">
      <c r="A162" s="202">
        <v>2220420020</v>
      </c>
      <c r="B162" s="201" t="s">
        <v>92</v>
      </c>
      <c r="C162" s="56" t="s">
        <v>93</v>
      </c>
      <c r="D162" s="37">
        <f t="shared" si="30"/>
        <v>462.7</v>
      </c>
      <c r="E162" s="37">
        <f t="shared" si="30"/>
        <v>462.7</v>
      </c>
    </row>
    <row r="163" spans="1:5">
      <c r="A163" s="202">
        <v>2220420020</v>
      </c>
      <c r="B163" s="202">
        <v>610</v>
      </c>
      <c r="C163" s="56" t="s">
        <v>99</v>
      </c>
      <c r="D163" s="37">
        <f>' № 7  рп, кцср, квр'!E645</f>
        <v>462.7</v>
      </c>
      <c r="E163" s="37">
        <f>' № 7  рп, кцср, квр'!F645</f>
        <v>462.7</v>
      </c>
    </row>
    <row r="164" spans="1:5">
      <c r="A164" s="185">
        <v>2230000000</v>
      </c>
      <c r="B164" s="185"/>
      <c r="C164" s="186" t="s">
        <v>184</v>
      </c>
      <c r="D164" s="37">
        <f>D165+D169+D173</f>
        <v>15612.2</v>
      </c>
      <c r="E164" s="37">
        <f>E165+E169+E173</f>
        <v>15589.2</v>
      </c>
    </row>
    <row r="165" spans="1:5" ht="31.5">
      <c r="A165" s="98">
        <v>2230100000</v>
      </c>
      <c r="B165" s="98"/>
      <c r="C165" s="99" t="s">
        <v>185</v>
      </c>
      <c r="D165" s="37">
        <f>D166</f>
        <v>13968.300000000001</v>
      </c>
      <c r="E165" s="37">
        <f>E166</f>
        <v>13968.3</v>
      </c>
    </row>
    <row r="166" spans="1:5" ht="31.5">
      <c r="A166" s="98">
        <v>2230120010</v>
      </c>
      <c r="B166" s="98"/>
      <c r="C166" s="99" t="s">
        <v>118</v>
      </c>
      <c r="D166" s="37">
        <f t="shared" ref="D166:E167" si="31">D167</f>
        <v>13968.300000000001</v>
      </c>
      <c r="E166" s="37">
        <f t="shared" si="31"/>
        <v>13968.3</v>
      </c>
    </row>
    <row r="167" spans="1:5" ht="31.5">
      <c r="A167" s="98">
        <v>2230120010</v>
      </c>
      <c r="B167" s="100" t="s">
        <v>92</v>
      </c>
      <c r="C167" s="99" t="s">
        <v>93</v>
      </c>
      <c r="D167" s="37">
        <f t="shared" si="31"/>
        <v>13968.300000000001</v>
      </c>
      <c r="E167" s="37">
        <f t="shared" si="31"/>
        <v>13968.3</v>
      </c>
    </row>
    <row r="168" spans="1:5">
      <c r="A168" s="98">
        <v>2230120010</v>
      </c>
      <c r="B168" s="98">
        <v>610</v>
      </c>
      <c r="C168" s="99" t="s">
        <v>99</v>
      </c>
      <c r="D168" s="37">
        <f>' № 7  рп, кцср, квр'!E726</f>
        <v>13968.300000000001</v>
      </c>
      <c r="E168" s="37">
        <f>' № 7  рп, кцср, квр'!F726</f>
        <v>13968.3</v>
      </c>
    </row>
    <row r="169" spans="1:5" ht="63">
      <c r="A169" s="98">
        <v>2230200000</v>
      </c>
      <c r="B169" s="98"/>
      <c r="C169" s="99" t="s">
        <v>186</v>
      </c>
      <c r="D169" s="37">
        <f t="shared" ref="D169:E171" si="32">D170</f>
        <v>367.8</v>
      </c>
      <c r="E169" s="37">
        <f t="shared" si="32"/>
        <v>367.2</v>
      </c>
    </row>
    <row r="170" spans="1:5">
      <c r="A170" s="98">
        <v>2230220040</v>
      </c>
      <c r="B170" s="98"/>
      <c r="C170" s="99" t="s">
        <v>187</v>
      </c>
      <c r="D170" s="37">
        <f t="shared" si="32"/>
        <v>367.8</v>
      </c>
      <c r="E170" s="37">
        <f t="shared" si="32"/>
        <v>367.2</v>
      </c>
    </row>
    <row r="171" spans="1:5" ht="31.5">
      <c r="A171" s="98">
        <v>2230220040</v>
      </c>
      <c r="B171" s="100" t="s">
        <v>92</v>
      </c>
      <c r="C171" s="99" t="s">
        <v>93</v>
      </c>
      <c r="D171" s="37">
        <f t="shared" si="32"/>
        <v>367.8</v>
      </c>
      <c r="E171" s="37">
        <f t="shared" si="32"/>
        <v>367.2</v>
      </c>
    </row>
    <row r="172" spans="1:5">
      <c r="A172" s="98">
        <v>2230220040</v>
      </c>
      <c r="B172" s="98">
        <v>610</v>
      </c>
      <c r="C172" s="99" t="s">
        <v>99</v>
      </c>
      <c r="D172" s="37">
        <f>' № 7  рп, кцср, квр'!E730</f>
        <v>367.8</v>
      </c>
      <c r="E172" s="37">
        <f>' № 7  рп, кцср, квр'!F730</f>
        <v>367.2</v>
      </c>
    </row>
    <row r="173" spans="1:5" ht="31.5">
      <c r="A173" s="98">
        <v>2230300000</v>
      </c>
      <c r="B173" s="98"/>
      <c r="C173" s="99" t="s">
        <v>188</v>
      </c>
      <c r="D173" s="37">
        <f>D174+D181</f>
        <v>1276.0999999999999</v>
      </c>
      <c r="E173" s="37">
        <f>E174+E181</f>
        <v>1253.7</v>
      </c>
    </row>
    <row r="174" spans="1:5" ht="31.5">
      <c r="A174" s="98">
        <v>2230320300</v>
      </c>
      <c r="B174" s="98"/>
      <c r="C174" s="99" t="s">
        <v>189</v>
      </c>
      <c r="D174" s="37">
        <f>D175+D177+D179</f>
        <v>537.59999999999991</v>
      </c>
      <c r="E174" s="37">
        <f>E175+E177+E179</f>
        <v>535.70000000000005</v>
      </c>
    </row>
    <row r="175" spans="1:5" ht="63">
      <c r="A175" s="98">
        <v>2230320300</v>
      </c>
      <c r="B175" s="100" t="s">
        <v>66</v>
      </c>
      <c r="C175" s="99" t="s">
        <v>1</v>
      </c>
      <c r="D175" s="37">
        <f>D176</f>
        <v>108.9</v>
      </c>
      <c r="E175" s="37">
        <f>E176</f>
        <v>107</v>
      </c>
    </row>
    <row r="176" spans="1:5" ht="31.5">
      <c r="A176" s="98">
        <v>2230320300</v>
      </c>
      <c r="B176" s="98">
        <v>120</v>
      </c>
      <c r="C176" s="99" t="s">
        <v>217</v>
      </c>
      <c r="D176" s="37">
        <f>' № 7  рп, кцср, квр'!E734</f>
        <v>108.9</v>
      </c>
      <c r="E176" s="37">
        <f>' № 7  рп, кцср, квр'!F734</f>
        <v>107</v>
      </c>
    </row>
    <row r="177" spans="1:5" ht="31.5">
      <c r="A177" s="98">
        <v>2230320300</v>
      </c>
      <c r="B177" s="100" t="s">
        <v>67</v>
      </c>
      <c r="C177" s="99" t="s">
        <v>90</v>
      </c>
      <c r="D177" s="37">
        <f>D178</f>
        <v>297.5</v>
      </c>
      <c r="E177" s="37">
        <f>E178</f>
        <v>297.5</v>
      </c>
    </row>
    <row r="178" spans="1:5" ht="31.5">
      <c r="A178" s="98">
        <v>2230320300</v>
      </c>
      <c r="B178" s="98">
        <v>240</v>
      </c>
      <c r="C178" s="99" t="s">
        <v>216</v>
      </c>
      <c r="D178" s="37">
        <f>' № 7  рп, кцср, квр'!E736</f>
        <v>297.5</v>
      </c>
      <c r="E178" s="37">
        <f>' № 7  рп, кцср, квр'!F736</f>
        <v>297.5</v>
      </c>
    </row>
    <row r="179" spans="1:5">
      <c r="A179" s="98">
        <v>2230320300</v>
      </c>
      <c r="B179" s="98" t="s">
        <v>68</v>
      </c>
      <c r="C179" s="99" t="s">
        <v>69</v>
      </c>
      <c r="D179" s="37">
        <f>D180</f>
        <v>131.19999999999999</v>
      </c>
      <c r="E179" s="37">
        <f>E180</f>
        <v>131.19999999999999</v>
      </c>
    </row>
    <row r="180" spans="1:5">
      <c r="A180" s="98">
        <v>2230320300</v>
      </c>
      <c r="B180" s="98">
        <v>850</v>
      </c>
      <c r="C180" s="99" t="s">
        <v>95</v>
      </c>
      <c r="D180" s="37">
        <f>' № 7  рп, кцср, квр'!E738</f>
        <v>131.19999999999999</v>
      </c>
      <c r="E180" s="37">
        <f>' № 7  рп, кцср, квр'!F738</f>
        <v>131.19999999999999</v>
      </c>
    </row>
    <row r="181" spans="1:5">
      <c r="A181" s="98">
        <v>2230320320</v>
      </c>
      <c r="B181" s="98"/>
      <c r="C181" s="99" t="s">
        <v>134</v>
      </c>
      <c r="D181" s="37">
        <f>D182+D184+D186</f>
        <v>738.5</v>
      </c>
      <c r="E181" s="37">
        <f>E182+E184+E186</f>
        <v>718</v>
      </c>
    </row>
    <row r="182" spans="1:5" ht="63">
      <c r="A182" s="98">
        <v>2230320320</v>
      </c>
      <c r="B182" s="100" t="s">
        <v>66</v>
      </c>
      <c r="C182" s="99" t="s">
        <v>1</v>
      </c>
      <c r="D182" s="37">
        <f>D183</f>
        <v>278.39999999999998</v>
      </c>
      <c r="E182" s="37">
        <f>E183</f>
        <v>278.39999999999998</v>
      </c>
    </row>
    <row r="183" spans="1:5" ht="31.5">
      <c r="A183" s="98">
        <v>2230320320</v>
      </c>
      <c r="B183" s="98">
        <v>120</v>
      </c>
      <c r="C183" s="99" t="s">
        <v>217</v>
      </c>
      <c r="D183" s="37">
        <f>' № 7  рп, кцср, квр'!E741</f>
        <v>278.39999999999998</v>
      </c>
      <c r="E183" s="37">
        <f>' № 7  рп, кцср, квр'!F741</f>
        <v>278.39999999999998</v>
      </c>
    </row>
    <row r="184" spans="1:5" ht="31.5">
      <c r="A184" s="98">
        <v>2230320320</v>
      </c>
      <c r="B184" s="100" t="s">
        <v>67</v>
      </c>
      <c r="C184" s="99" t="s">
        <v>90</v>
      </c>
      <c r="D184" s="37">
        <f>D185</f>
        <v>169.1</v>
      </c>
      <c r="E184" s="37">
        <f>E185</f>
        <v>169.1</v>
      </c>
    </row>
    <row r="185" spans="1:5" ht="31.5">
      <c r="A185" s="98">
        <v>2230320320</v>
      </c>
      <c r="B185" s="98">
        <v>240</v>
      </c>
      <c r="C185" s="99" t="s">
        <v>216</v>
      </c>
      <c r="D185" s="37">
        <f>' № 7  рп, кцср, квр'!E743</f>
        <v>169.1</v>
      </c>
      <c r="E185" s="37">
        <f>' № 7  рп, кцср, квр'!F743</f>
        <v>169.1</v>
      </c>
    </row>
    <row r="186" spans="1:5" ht="31.5">
      <c r="A186" s="98">
        <v>2230320320</v>
      </c>
      <c r="B186" s="100" t="s">
        <v>92</v>
      </c>
      <c r="C186" s="99" t="s">
        <v>93</v>
      </c>
      <c r="D186" s="37">
        <f>D187</f>
        <v>291</v>
      </c>
      <c r="E186" s="37">
        <f>E187</f>
        <v>270.5</v>
      </c>
    </row>
    <row r="187" spans="1:5">
      <c r="A187" s="98">
        <v>2230320320</v>
      </c>
      <c r="B187" s="98">
        <v>610</v>
      </c>
      <c r="C187" s="99" t="s">
        <v>99</v>
      </c>
      <c r="D187" s="37">
        <f>' № 7  рп, кцср, квр'!E745</f>
        <v>291</v>
      </c>
      <c r="E187" s="37">
        <f>' № 7  рп, кцср, квр'!F745</f>
        <v>270.5</v>
      </c>
    </row>
    <row r="188" spans="1:5" ht="31.5">
      <c r="A188" s="100">
        <v>2240000000</v>
      </c>
      <c r="B188" s="98"/>
      <c r="C188" s="99" t="s">
        <v>127</v>
      </c>
      <c r="D188" s="37">
        <f>D189+D193+D205+D224+D232+D215</f>
        <v>12745.199999999999</v>
      </c>
      <c r="E188" s="37">
        <f>E189+E193+E205+E224+E232+E215</f>
        <v>12570.7</v>
      </c>
    </row>
    <row r="189" spans="1:5" ht="31.5">
      <c r="A189" s="100">
        <v>2240100000</v>
      </c>
      <c r="B189" s="98"/>
      <c r="C189" s="99" t="s">
        <v>181</v>
      </c>
      <c r="D189" s="37">
        <f t="shared" ref="D189:E191" si="33">D190</f>
        <v>500</v>
      </c>
      <c r="E189" s="37">
        <f t="shared" si="33"/>
        <v>500</v>
      </c>
    </row>
    <row r="190" spans="1:5" ht="31.5">
      <c r="A190" s="100">
        <v>2240120330</v>
      </c>
      <c r="B190" s="98"/>
      <c r="C190" s="99" t="s">
        <v>137</v>
      </c>
      <c r="D190" s="37">
        <f t="shared" si="33"/>
        <v>500</v>
      </c>
      <c r="E190" s="37">
        <f t="shared" si="33"/>
        <v>500</v>
      </c>
    </row>
    <row r="191" spans="1:5" ht="31.5">
      <c r="A191" s="100">
        <v>2240120330</v>
      </c>
      <c r="B191" s="100" t="s">
        <v>92</v>
      </c>
      <c r="C191" s="99" t="s">
        <v>93</v>
      </c>
      <c r="D191" s="37">
        <f t="shared" si="33"/>
        <v>500</v>
      </c>
      <c r="E191" s="37">
        <f t="shared" si="33"/>
        <v>500</v>
      </c>
    </row>
    <row r="192" spans="1:5" ht="31.5">
      <c r="A192" s="100">
        <v>2240120330</v>
      </c>
      <c r="B192" s="98">
        <v>630</v>
      </c>
      <c r="C192" s="99" t="s">
        <v>138</v>
      </c>
      <c r="D192" s="37">
        <f>' № 7  рп, кцср, квр'!E685</f>
        <v>500</v>
      </c>
      <c r="E192" s="37">
        <f>' № 7  рп, кцср, квр'!F685</f>
        <v>500</v>
      </c>
    </row>
    <row r="193" spans="1:5" ht="31.5">
      <c r="A193" s="100">
        <v>2240200000</v>
      </c>
      <c r="B193" s="98"/>
      <c r="C193" s="99" t="s">
        <v>139</v>
      </c>
      <c r="D193" s="37">
        <f>D197+D194+D202</f>
        <v>187.7</v>
      </c>
      <c r="E193" s="37">
        <f>E197+E194+E202</f>
        <v>152.5</v>
      </c>
    </row>
    <row r="194" spans="1:5">
      <c r="A194" s="98">
        <v>2240220340</v>
      </c>
      <c r="B194" s="98"/>
      <c r="C194" s="49" t="s">
        <v>143</v>
      </c>
      <c r="D194" s="37">
        <f>D195</f>
        <v>74</v>
      </c>
      <c r="E194" s="37">
        <f>E195</f>
        <v>74</v>
      </c>
    </row>
    <row r="195" spans="1:5" ht="31.5">
      <c r="A195" s="98">
        <v>2240220340</v>
      </c>
      <c r="B195" s="100" t="s">
        <v>67</v>
      </c>
      <c r="C195" s="99" t="s">
        <v>90</v>
      </c>
      <c r="D195" s="37">
        <f>D196</f>
        <v>74</v>
      </c>
      <c r="E195" s="37">
        <f>E196</f>
        <v>74</v>
      </c>
    </row>
    <row r="196" spans="1:5" ht="31.5">
      <c r="A196" s="98">
        <v>2240220340</v>
      </c>
      <c r="B196" s="98">
        <v>240</v>
      </c>
      <c r="C196" s="49" t="s">
        <v>216</v>
      </c>
      <c r="D196" s="37">
        <f>' № 7  рп, кцср, квр'!E75</f>
        <v>74</v>
      </c>
      <c r="E196" s="37">
        <f>' № 7  рп, кцср, квр'!F75</f>
        <v>74</v>
      </c>
    </row>
    <row r="197" spans="1:5" ht="31.5">
      <c r="A197" s="100">
        <v>2240220350</v>
      </c>
      <c r="B197" s="98"/>
      <c r="C197" s="99" t="s">
        <v>182</v>
      </c>
      <c r="D197" s="37">
        <f>D198+D200</f>
        <v>107.1</v>
      </c>
      <c r="E197" s="37">
        <f>E198+E200</f>
        <v>72</v>
      </c>
    </row>
    <row r="198" spans="1:5" ht="31.5">
      <c r="A198" s="100">
        <v>2240220350</v>
      </c>
      <c r="B198" s="100" t="s">
        <v>67</v>
      </c>
      <c r="C198" s="99" t="s">
        <v>90</v>
      </c>
      <c r="D198" s="37">
        <f>D199</f>
        <v>3.1</v>
      </c>
      <c r="E198" s="37">
        <f>E199</f>
        <v>0</v>
      </c>
    </row>
    <row r="199" spans="1:5" ht="31.5">
      <c r="A199" s="100">
        <v>2240220350</v>
      </c>
      <c r="B199" s="98">
        <v>240</v>
      </c>
      <c r="C199" s="99" t="s">
        <v>216</v>
      </c>
      <c r="D199" s="37">
        <f>' № 7  рп, кцср, квр'!E689</f>
        <v>3.1</v>
      </c>
      <c r="E199" s="37">
        <f>' № 7  рп, кцср, квр'!F689</f>
        <v>0</v>
      </c>
    </row>
    <row r="200" spans="1:5">
      <c r="A200" s="100">
        <v>2240220350</v>
      </c>
      <c r="B200" s="98" t="s">
        <v>71</v>
      </c>
      <c r="C200" s="99" t="s">
        <v>72</v>
      </c>
      <c r="D200" s="37">
        <f>D201</f>
        <v>104</v>
      </c>
      <c r="E200" s="37">
        <f>E201</f>
        <v>72</v>
      </c>
    </row>
    <row r="201" spans="1:5">
      <c r="A201" s="100">
        <v>2240220350</v>
      </c>
      <c r="B201" s="98" t="s">
        <v>135</v>
      </c>
      <c r="C201" s="99" t="s">
        <v>136</v>
      </c>
      <c r="D201" s="37">
        <f>' № 7  рп, кцср, квр'!E691</f>
        <v>104</v>
      </c>
      <c r="E201" s="37">
        <f>' № 7  рп, кцср, квр'!F691</f>
        <v>72</v>
      </c>
    </row>
    <row r="202" spans="1:5" ht="31.5">
      <c r="A202" s="98">
        <v>2240220360</v>
      </c>
      <c r="B202" s="98"/>
      <c r="C202" s="47" t="s">
        <v>220</v>
      </c>
      <c r="D202" s="37">
        <f t="shared" ref="D202:E203" si="34">D203</f>
        <v>6.6</v>
      </c>
      <c r="E202" s="37">
        <f t="shared" si="34"/>
        <v>6.5</v>
      </c>
    </row>
    <row r="203" spans="1:5">
      <c r="A203" s="98">
        <v>2240220360</v>
      </c>
      <c r="B203" s="100" t="s">
        <v>71</v>
      </c>
      <c r="C203" s="99" t="s">
        <v>72</v>
      </c>
      <c r="D203" s="37">
        <f t="shared" si="34"/>
        <v>6.6</v>
      </c>
      <c r="E203" s="37">
        <f t="shared" si="34"/>
        <v>6.5</v>
      </c>
    </row>
    <row r="204" spans="1:5">
      <c r="A204" s="98">
        <v>2240220360</v>
      </c>
      <c r="B204" s="98">
        <v>350</v>
      </c>
      <c r="C204" s="47" t="s">
        <v>144</v>
      </c>
      <c r="D204" s="37">
        <f>' № 7  рп, кцср, квр'!E78</f>
        <v>6.6</v>
      </c>
      <c r="E204" s="37">
        <f>' № 7  рп, кцср, квр'!F78</f>
        <v>6.5</v>
      </c>
    </row>
    <row r="205" spans="1:5">
      <c r="A205" s="98">
        <v>2240300000</v>
      </c>
      <c r="B205" s="98"/>
      <c r="C205" s="99" t="s">
        <v>183</v>
      </c>
      <c r="D205" s="37">
        <f>D212+D209+D206</f>
        <v>2101.6999999999998</v>
      </c>
      <c r="E205" s="37">
        <f>E212+E209+E206</f>
        <v>2043.7</v>
      </c>
    </row>
    <row r="206" spans="1:5" ht="47.25">
      <c r="A206" s="98">
        <v>2240310320</v>
      </c>
      <c r="B206" s="98"/>
      <c r="C206" s="56" t="s">
        <v>237</v>
      </c>
      <c r="D206" s="37">
        <f t="shared" ref="D206:E207" si="35">D207</f>
        <v>490.7</v>
      </c>
      <c r="E206" s="37">
        <f t="shared" si="35"/>
        <v>490.7</v>
      </c>
    </row>
    <row r="207" spans="1:5" ht="31.5">
      <c r="A207" s="98">
        <v>2240310320</v>
      </c>
      <c r="B207" s="100" t="s">
        <v>92</v>
      </c>
      <c r="C207" s="99" t="s">
        <v>93</v>
      </c>
      <c r="D207" s="37">
        <f t="shared" si="35"/>
        <v>490.7</v>
      </c>
      <c r="E207" s="37">
        <f t="shared" si="35"/>
        <v>490.7</v>
      </c>
    </row>
    <row r="208" spans="1:5" ht="31.5">
      <c r="A208" s="98">
        <v>2240310320</v>
      </c>
      <c r="B208" s="98">
        <v>630</v>
      </c>
      <c r="C208" s="99" t="s">
        <v>138</v>
      </c>
      <c r="D208" s="37">
        <f>' № 7  рп, кцср, квр'!E801</f>
        <v>490.7</v>
      </c>
      <c r="E208" s="37">
        <f>' № 7  рп, кцср, квр'!F801</f>
        <v>490.7</v>
      </c>
    </row>
    <row r="209" spans="1:5" ht="47.25">
      <c r="A209" s="98">
        <v>2240320400</v>
      </c>
      <c r="B209" s="98"/>
      <c r="C209" s="99" t="s">
        <v>238</v>
      </c>
      <c r="D209" s="37">
        <f t="shared" ref="D209:E210" si="36">D210</f>
        <v>656</v>
      </c>
      <c r="E209" s="37">
        <f t="shared" si="36"/>
        <v>598</v>
      </c>
    </row>
    <row r="210" spans="1:5" ht="31.5">
      <c r="A210" s="98">
        <v>2240320400</v>
      </c>
      <c r="B210" s="100" t="s">
        <v>67</v>
      </c>
      <c r="C210" s="99" t="s">
        <v>90</v>
      </c>
      <c r="D210" s="37">
        <f t="shared" si="36"/>
        <v>656</v>
      </c>
      <c r="E210" s="37">
        <f t="shared" si="36"/>
        <v>598</v>
      </c>
    </row>
    <row r="211" spans="1:5" ht="31.5">
      <c r="A211" s="98">
        <v>2240320400</v>
      </c>
      <c r="B211" s="98">
        <v>240</v>
      </c>
      <c r="C211" s="99" t="s">
        <v>216</v>
      </c>
      <c r="D211" s="37">
        <f>' № 7  рп, кцср, квр'!E804</f>
        <v>656</v>
      </c>
      <c r="E211" s="37">
        <f>' № 7  рп, кцср, квр'!F804</f>
        <v>598</v>
      </c>
    </row>
    <row r="212" spans="1:5" ht="47.25">
      <c r="A212" s="98" t="s">
        <v>305</v>
      </c>
      <c r="B212" s="98"/>
      <c r="C212" s="99" t="s">
        <v>140</v>
      </c>
      <c r="D212" s="37">
        <f t="shared" ref="D212:E213" si="37">D213</f>
        <v>955</v>
      </c>
      <c r="E212" s="37">
        <f t="shared" si="37"/>
        <v>955</v>
      </c>
    </row>
    <row r="213" spans="1:5" ht="31.5">
      <c r="A213" s="98" t="s">
        <v>305</v>
      </c>
      <c r="B213" s="100" t="s">
        <v>92</v>
      </c>
      <c r="C213" s="99" t="s">
        <v>93</v>
      </c>
      <c r="D213" s="37">
        <f t="shared" si="37"/>
        <v>955</v>
      </c>
      <c r="E213" s="37">
        <f t="shared" si="37"/>
        <v>955</v>
      </c>
    </row>
    <row r="214" spans="1:5" ht="31.5">
      <c r="A214" s="98" t="s">
        <v>305</v>
      </c>
      <c r="B214" s="98">
        <v>630</v>
      </c>
      <c r="C214" s="99" t="s">
        <v>138</v>
      </c>
      <c r="D214" s="37">
        <f>' № 7  рп, кцср, квр'!E807</f>
        <v>955</v>
      </c>
      <c r="E214" s="37">
        <f>' № 7  рп, кцср, квр'!F807</f>
        <v>955</v>
      </c>
    </row>
    <row r="215" spans="1:5">
      <c r="A215" s="154">
        <v>2240400000</v>
      </c>
      <c r="B215" s="154"/>
      <c r="C215" s="155" t="s">
        <v>180</v>
      </c>
      <c r="D215" s="37">
        <f>D216+D221</f>
        <v>9066.5</v>
      </c>
      <c r="E215" s="37">
        <f>E216+E221</f>
        <v>8985.8000000000011</v>
      </c>
    </row>
    <row r="216" spans="1:5" ht="47.25">
      <c r="A216" s="98">
        <v>2240420390</v>
      </c>
      <c r="B216" s="98"/>
      <c r="C216" s="49" t="s">
        <v>65</v>
      </c>
      <c r="D216" s="37">
        <f>D217+D219</f>
        <v>698.3</v>
      </c>
      <c r="E216" s="37">
        <f>E217+E219</f>
        <v>617.6</v>
      </c>
    </row>
    <row r="217" spans="1:5" ht="31.5">
      <c r="A217" s="98">
        <v>2240420390</v>
      </c>
      <c r="B217" s="100" t="s">
        <v>67</v>
      </c>
      <c r="C217" s="99" t="s">
        <v>90</v>
      </c>
      <c r="D217" s="37">
        <f>D218</f>
        <v>20.3</v>
      </c>
      <c r="E217" s="37">
        <f>E218</f>
        <v>0</v>
      </c>
    </row>
    <row r="218" spans="1:5" ht="31.5">
      <c r="A218" s="98">
        <v>2240420390</v>
      </c>
      <c r="B218" s="98">
        <v>240</v>
      </c>
      <c r="C218" s="99" t="s">
        <v>216</v>
      </c>
      <c r="D218" s="37">
        <f>' № 7  рп, кцср, квр'!E676</f>
        <v>20.3</v>
      </c>
      <c r="E218" s="37">
        <f>' № 7  рп, кцср, квр'!F676</f>
        <v>0</v>
      </c>
    </row>
    <row r="219" spans="1:5">
      <c r="A219" s="98">
        <v>2240420390</v>
      </c>
      <c r="B219" s="100" t="s">
        <v>71</v>
      </c>
      <c r="C219" s="99" t="s">
        <v>72</v>
      </c>
      <c r="D219" s="37">
        <f>D220</f>
        <v>678</v>
      </c>
      <c r="E219" s="37">
        <f>E220</f>
        <v>617.6</v>
      </c>
    </row>
    <row r="220" spans="1:5">
      <c r="A220" s="98">
        <v>2240420390</v>
      </c>
      <c r="B220" s="100" t="s">
        <v>135</v>
      </c>
      <c r="C220" s="99" t="s">
        <v>136</v>
      </c>
      <c r="D220" s="37">
        <f>' № 7  рп, кцср, квр'!E678</f>
        <v>678</v>
      </c>
      <c r="E220" s="37">
        <f>' № 7  рп, кцср, квр'!F678</f>
        <v>617.6</v>
      </c>
    </row>
    <row r="221" spans="1:5">
      <c r="A221" s="98" t="s">
        <v>304</v>
      </c>
      <c r="B221" s="98"/>
      <c r="C221" s="99" t="s">
        <v>215</v>
      </c>
      <c r="D221" s="37">
        <f t="shared" ref="D221:E222" si="38">D222</f>
        <v>8368.2000000000007</v>
      </c>
      <c r="E221" s="37">
        <f t="shared" si="38"/>
        <v>8368.2000000000007</v>
      </c>
    </row>
    <row r="222" spans="1:5">
      <c r="A222" s="98" t="s">
        <v>304</v>
      </c>
      <c r="B222" s="1" t="s">
        <v>71</v>
      </c>
      <c r="C222" s="47" t="s">
        <v>72</v>
      </c>
      <c r="D222" s="37">
        <f t="shared" si="38"/>
        <v>8368.2000000000007</v>
      </c>
      <c r="E222" s="37">
        <f t="shared" si="38"/>
        <v>8368.2000000000007</v>
      </c>
    </row>
    <row r="223" spans="1:5" ht="31.5">
      <c r="A223" s="98" t="s">
        <v>304</v>
      </c>
      <c r="B223" s="1" t="s">
        <v>96</v>
      </c>
      <c r="C223" s="47" t="s">
        <v>97</v>
      </c>
      <c r="D223" s="37">
        <f>' № 7  рп, кцср, квр'!E706</f>
        <v>8368.2000000000007</v>
      </c>
      <c r="E223" s="37">
        <f>' № 7  рп, кцср, квр'!F706</f>
        <v>8368.2000000000007</v>
      </c>
    </row>
    <row r="224" spans="1:5">
      <c r="A224" s="98">
        <v>2240500000</v>
      </c>
      <c r="B224" s="98"/>
      <c r="C224" s="99" t="s">
        <v>128</v>
      </c>
      <c r="D224" s="37">
        <f>D225+D229</f>
        <v>839.19999999999993</v>
      </c>
      <c r="E224" s="37">
        <f>E225+E229</f>
        <v>838.7</v>
      </c>
    </row>
    <row r="225" spans="1:5" ht="31.5">
      <c r="A225" s="98">
        <v>2240520410</v>
      </c>
      <c r="B225" s="98"/>
      <c r="C225" s="99" t="s">
        <v>196</v>
      </c>
      <c r="D225" s="37">
        <f>D226</f>
        <v>215.39999999999998</v>
      </c>
      <c r="E225" s="37">
        <f>E226</f>
        <v>215.1</v>
      </c>
    </row>
    <row r="226" spans="1:5">
      <c r="A226" s="98">
        <v>2240520410</v>
      </c>
      <c r="B226" s="98" t="s">
        <v>68</v>
      </c>
      <c r="C226" s="99" t="s">
        <v>69</v>
      </c>
      <c r="D226" s="37">
        <f>D227+D228</f>
        <v>215.39999999999998</v>
      </c>
      <c r="E226" s="37">
        <f>E227+E228</f>
        <v>215.1</v>
      </c>
    </row>
    <row r="227" spans="1:5">
      <c r="A227" s="98">
        <v>2240520410</v>
      </c>
      <c r="B227" s="98">
        <v>850</v>
      </c>
      <c r="C227" s="99" t="s">
        <v>95</v>
      </c>
      <c r="D227" s="37">
        <f>' № 7  рп, кцср, квр'!E82</f>
        <v>126.8</v>
      </c>
      <c r="E227" s="37">
        <f>' № 7  рп, кцср, квр'!F82</f>
        <v>126.5</v>
      </c>
    </row>
    <row r="228" spans="1:5" ht="31.5">
      <c r="A228" s="98">
        <v>2240520410</v>
      </c>
      <c r="B228" s="98">
        <v>860</v>
      </c>
      <c r="C228" s="99" t="s">
        <v>219</v>
      </c>
      <c r="D228" s="37">
        <f>' № 7  рп, кцср, квр'!E62</f>
        <v>88.6</v>
      </c>
      <c r="E228" s="37">
        <f>' № 7  рп, кцср, квр'!F62</f>
        <v>88.6</v>
      </c>
    </row>
    <row r="229" spans="1:5" ht="31.5">
      <c r="A229" s="98">
        <v>2240520460</v>
      </c>
      <c r="B229" s="98"/>
      <c r="C229" s="99" t="s">
        <v>145</v>
      </c>
      <c r="D229" s="37">
        <f t="shared" ref="D229:E230" si="39">D230</f>
        <v>623.79999999999995</v>
      </c>
      <c r="E229" s="37">
        <f t="shared" si="39"/>
        <v>623.6</v>
      </c>
    </row>
    <row r="230" spans="1:5" ht="31.5">
      <c r="A230" s="98">
        <v>2240520460</v>
      </c>
      <c r="B230" s="100" t="s">
        <v>67</v>
      </c>
      <c r="C230" s="99" t="s">
        <v>90</v>
      </c>
      <c r="D230" s="37">
        <f t="shared" si="39"/>
        <v>623.79999999999995</v>
      </c>
      <c r="E230" s="37">
        <f t="shared" si="39"/>
        <v>623.6</v>
      </c>
    </row>
    <row r="231" spans="1:5" ht="31.5">
      <c r="A231" s="98">
        <v>2240520460</v>
      </c>
      <c r="B231" s="98">
        <v>240</v>
      </c>
      <c r="C231" s="99" t="s">
        <v>216</v>
      </c>
      <c r="D231" s="37">
        <f>' № 7  рп, кцср, квр'!E85</f>
        <v>623.79999999999995</v>
      </c>
      <c r="E231" s="37">
        <f>' № 7  рп, кцср, квр'!F85</f>
        <v>623.6</v>
      </c>
    </row>
    <row r="232" spans="1:5" ht="31.5">
      <c r="A232" s="98">
        <v>2240600000</v>
      </c>
      <c r="B232" s="10"/>
      <c r="C232" s="49" t="s">
        <v>131</v>
      </c>
      <c r="D232" s="37">
        <f>D233+D236</f>
        <v>50.1</v>
      </c>
      <c r="E232" s="37">
        <f>E233+E236</f>
        <v>50</v>
      </c>
    </row>
    <row r="233" spans="1:5" ht="18" customHeight="1">
      <c r="A233" s="10" t="s">
        <v>300</v>
      </c>
      <c r="B233" s="10"/>
      <c r="C233" s="99" t="s">
        <v>129</v>
      </c>
      <c r="D233" s="37">
        <f t="shared" ref="D233:E234" si="40">D234</f>
        <v>14.1</v>
      </c>
      <c r="E233" s="37">
        <f t="shared" si="40"/>
        <v>14</v>
      </c>
    </row>
    <row r="234" spans="1:5" ht="31.5">
      <c r="A234" s="10" t="s">
        <v>300</v>
      </c>
      <c r="B234" s="100" t="s">
        <v>67</v>
      </c>
      <c r="C234" s="99" t="s">
        <v>90</v>
      </c>
      <c r="D234" s="37">
        <f t="shared" si="40"/>
        <v>14.1</v>
      </c>
      <c r="E234" s="37">
        <f t="shared" si="40"/>
        <v>14</v>
      </c>
    </row>
    <row r="235" spans="1:5" ht="31.5">
      <c r="A235" s="10" t="s">
        <v>300</v>
      </c>
      <c r="B235" s="98">
        <v>240</v>
      </c>
      <c r="C235" s="99" t="s">
        <v>216</v>
      </c>
      <c r="D235" s="37">
        <f>' № 7  рп, кцср, квр'!E560</f>
        <v>14.1</v>
      </c>
      <c r="E235" s="37">
        <f>' № 7  рп, кцср, квр'!F560</f>
        <v>14</v>
      </c>
    </row>
    <row r="236" spans="1:5">
      <c r="A236" s="10" t="s">
        <v>301</v>
      </c>
      <c r="B236" s="10"/>
      <c r="C236" s="99" t="s">
        <v>130</v>
      </c>
      <c r="D236" s="37">
        <f t="shared" ref="D236:E237" si="41">D237</f>
        <v>36</v>
      </c>
      <c r="E236" s="37">
        <f t="shared" si="41"/>
        <v>36</v>
      </c>
    </row>
    <row r="237" spans="1:5">
      <c r="A237" s="10" t="s">
        <v>301</v>
      </c>
      <c r="B237" s="100" t="s">
        <v>71</v>
      </c>
      <c r="C237" s="99" t="s">
        <v>72</v>
      </c>
      <c r="D237" s="37">
        <f t="shared" si="41"/>
        <v>36</v>
      </c>
      <c r="E237" s="37">
        <f t="shared" si="41"/>
        <v>36</v>
      </c>
    </row>
    <row r="238" spans="1:5">
      <c r="A238" s="10" t="s">
        <v>301</v>
      </c>
      <c r="B238" s="10" t="s">
        <v>335</v>
      </c>
      <c r="C238" s="133" t="s">
        <v>336</v>
      </c>
      <c r="D238" s="37">
        <f>' № 7  рп, кцср, квр'!E563</f>
        <v>36</v>
      </c>
      <c r="E238" s="37">
        <f>' № 7  рп, кцср, квр'!F563</f>
        <v>36</v>
      </c>
    </row>
    <row r="239" spans="1:5" ht="31.5">
      <c r="A239" s="98">
        <v>2250000000</v>
      </c>
      <c r="B239" s="98"/>
      <c r="C239" s="99" t="s">
        <v>246</v>
      </c>
      <c r="D239" s="37">
        <f>D240+D250</f>
        <v>23104.6</v>
      </c>
      <c r="E239" s="37">
        <f>E240+E250</f>
        <v>23037</v>
      </c>
    </row>
    <row r="240" spans="1:5" ht="31.5">
      <c r="A240" s="98">
        <v>2250100000</v>
      </c>
      <c r="B240" s="98"/>
      <c r="C240" s="99" t="s">
        <v>247</v>
      </c>
      <c r="D240" s="37">
        <f>D244+D247+D241</f>
        <v>17637.999999999996</v>
      </c>
      <c r="E240" s="37">
        <f>E244+E247+E241</f>
        <v>17570.399999999998</v>
      </c>
    </row>
    <row r="241" spans="1:5" ht="63">
      <c r="A241" s="212">
        <v>2250111430</v>
      </c>
      <c r="B241" s="212"/>
      <c r="C241" s="42" t="s">
        <v>406</v>
      </c>
      <c r="D241" s="37">
        <f>D242</f>
        <v>311.60000000000002</v>
      </c>
      <c r="E241" s="37">
        <f>E242</f>
        <v>244.6</v>
      </c>
    </row>
    <row r="242" spans="1:5" ht="31.5">
      <c r="A242" s="212">
        <v>2250111430</v>
      </c>
      <c r="B242" s="211" t="s">
        <v>92</v>
      </c>
      <c r="C242" s="213" t="s">
        <v>93</v>
      </c>
      <c r="D242" s="37">
        <f>D243</f>
        <v>311.60000000000002</v>
      </c>
      <c r="E242" s="37">
        <f>E243</f>
        <v>244.6</v>
      </c>
    </row>
    <row r="243" spans="1:5">
      <c r="A243" s="212">
        <v>2250111430</v>
      </c>
      <c r="B243" s="212">
        <v>610</v>
      </c>
      <c r="C243" s="213" t="s">
        <v>99</v>
      </c>
      <c r="D243" s="37">
        <f>' № 7  рп, кцср, квр'!E766</f>
        <v>311.60000000000002</v>
      </c>
      <c r="E243" s="37">
        <f>' № 7  рп, кцср, квр'!F766</f>
        <v>244.6</v>
      </c>
    </row>
    <row r="244" spans="1:5" ht="31.5">
      <c r="A244" s="98">
        <v>2250120010</v>
      </c>
      <c r="B244" s="98"/>
      <c r="C244" s="99" t="s">
        <v>118</v>
      </c>
      <c r="D244" s="37">
        <f t="shared" ref="D244:E245" si="42">D245</f>
        <v>17323.3</v>
      </c>
      <c r="E244" s="37">
        <f t="shared" si="42"/>
        <v>17323.3</v>
      </c>
    </row>
    <row r="245" spans="1:5" ht="31.5">
      <c r="A245" s="98">
        <v>2250120010</v>
      </c>
      <c r="B245" s="100" t="s">
        <v>92</v>
      </c>
      <c r="C245" s="99" t="s">
        <v>93</v>
      </c>
      <c r="D245" s="37">
        <f t="shared" si="42"/>
        <v>17323.3</v>
      </c>
      <c r="E245" s="37">
        <f t="shared" si="42"/>
        <v>17323.3</v>
      </c>
    </row>
    <row r="246" spans="1:5">
      <c r="A246" s="98">
        <v>2250120010</v>
      </c>
      <c r="B246" s="98">
        <v>610</v>
      </c>
      <c r="C246" s="99" t="s">
        <v>99</v>
      </c>
      <c r="D246" s="37">
        <f>' № 7  рп, кцср, квр'!E769</f>
        <v>17323.3</v>
      </c>
      <c r="E246" s="37">
        <f>' № 7  рп, кцср, квр'!F769</f>
        <v>17323.3</v>
      </c>
    </row>
    <row r="247" spans="1:5" ht="63">
      <c r="A247" s="212" t="s">
        <v>407</v>
      </c>
      <c r="B247" s="212"/>
      <c r="C247" s="42" t="s">
        <v>408</v>
      </c>
      <c r="D247" s="37">
        <f>D248</f>
        <v>3.1</v>
      </c>
      <c r="E247" s="37">
        <f>E248</f>
        <v>2.5</v>
      </c>
    </row>
    <row r="248" spans="1:5" ht="31.5">
      <c r="A248" s="212" t="s">
        <v>407</v>
      </c>
      <c r="B248" s="211" t="s">
        <v>92</v>
      </c>
      <c r="C248" s="213" t="s">
        <v>93</v>
      </c>
      <c r="D248" s="37">
        <f>D249</f>
        <v>3.1</v>
      </c>
      <c r="E248" s="37">
        <f>E249</f>
        <v>2.5</v>
      </c>
    </row>
    <row r="249" spans="1:5">
      <c r="A249" s="212" t="s">
        <v>407</v>
      </c>
      <c r="B249" s="212">
        <v>610</v>
      </c>
      <c r="C249" s="213" t="s">
        <v>99</v>
      </c>
      <c r="D249" s="37">
        <f>' № 7  рп, кцср, квр'!E772</f>
        <v>3.1</v>
      </c>
      <c r="E249" s="37">
        <f>' № 7  рп, кцср, квр'!F772</f>
        <v>2.5</v>
      </c>
    </row>
    <row r="250" spans="1:5" ht="47.25">
      <c r="A250" s="154">
        <v>2250200000</v>
      </c>
      <c r="B250" s="154"/>
      <c r="C250" s="155" t="s">
        <v>349</v>
      </c>
      <c r="D250" s="37">
        <f>D254+D251</f>
        <v>5466.6</v>
      </c>
      <c r="E250" s="37">
        <f>E254+E251</f>
        <v>5466.6</v>
      </c>
    </row>
    <row r="251" spans="1:5" ht="78.75">
      <c r="A251" s="110">
        <v>2250210480</v>
      </c>
      <c r="B251" s="171"/>
      <c r="C251" s="115" t="s">
        <v>369</v>
      </c>
      <c r="D251" s="37">
        <f>D252</f>
        <v>2733.3</v>
      </c>
      <c r="E251" s="37">
        <f>E252</f>
        <v>2733.3</v>
      </c>
    </row>
    <row r="252" spans="1:5" ht="31.5">
      <c r="A252" s="110">
        <v>2250210480</v>
      </c>
      <c r="B252" s="170" t="s">
        <v>92</v>
      </c>
      <c r="C252" s="172" t="s">
        <v>93</v>
      </c>
      <c r="D252" s="37">
        <f>D253</f>
        <v>2733.3</v>
      </c>
      <c r="E252" s="37">
        <f>E253</f>
        <v>2733.3</v>
      </c>
    </row>
    <row r="253" spans="1:5">
      <c r="A253" s="110">
        <v>2250210480</v>
      </c>
      <c r="B253" s="171">
        <v>610</v>
      </c>
      <c r="C253" s="172" t="s">
        <v>99</v>
      </c>
      <c r="D253" s="37">
        <f>' № 7  рп, кцср, квр'!E776</f>
        <v>2733.3</v>
      </c>
      <c r="E253" s="37">
        <f>' № 7  рп, кцср, квр'!F776</f>
        <v>2733.3</v>
      </c>
    </row>
    <row r="254" spans="1:5" ht="78.75">
      <c r="A254" s="110" t="s">
        <v>339</v>
      </c>
      <c r="B254" s="154"/>
      <c r="C254" s="115" t="s">
        <v>288</v>
      </c>
      <c r="D254" s="37">
        <f>D255</f>
        <v>2733.3</v>
      </c>
      <c r="E254" s="37">
        <f>E255</f>
        <v>2733.3</v>
      </c>
    </row>
    <row r="255" spans="1:5" ht="31.5">
      <c r="A255" s="110" t="s">
        <v>339</v>
      </c>
      <c r="B255" s="153" t="s">
        <v>92</v>
      </c>
      <c r="C255" s="155" t="s">
        <v>93</v>
      </c>
      <c r="D255" s="37">
        <f>D256</f>
        <v>2733.3</v>
      </c>
      <c r="E255" s="37">
        <f>E256</f>
        <v>2733.3</v>
      </c>
    </row>
    <row r="256" spans="1:5">
      <c r="A256" s="110" t="s">
        <v>339</v>
      </c>
      <c r="B256" s="154">
        <v>610</v>
      </c>
      <c r="C256" s="155" t="s">
        <v>99</v>
      </c>
      <c r="D256" s="37">
        <f>' № 7  рп, кцср, квр'!E779</f>
        <v>2733.3</v>
      </c>
      <c r="E256" s="37">
        <f>' № 7  рп, кцср, квр'!F779</f>
        <v>2733.3</v>
      </c>
    </row>
    <row r="257" spans="1:5" ht="47.25">
      <c r="A257" s="28">
        <v>2300000000</v>
      </c>
      <c r="B257" s="16"/>
      <c r="C257" s="45" t="s">
        <v>327</v>
      </c>
      <c r="D257" s="36">
        <f>D258+D273+D320</f>
        <v>80026.400000000009</v>
      </c>
      <c r="E257" s="36">
        <f>E258+E273+E320</f>
        <v>75966.899999999994</v>
      </c>
    </row>
    <row r="258" spans="1:5" ht="47.25">
      <c r="A258" s="100">
        <v>2310000000</v>
      </c>
      <c r="B258" s="98"/>
      <c r="C258" s="99" t="s">
        <v>205</v>
      </c>
      <c r="D258" s="37">
        <f>D259+D266</f>
        <v>18110.8</v>
      </c>
      <c r="E258" s="37">
        <f>E259+E266</f>
        <v>17943.5</v>
      </c>
    </row>
    <row r="259" spans="1:5" ht="47.25">
      <c r="A259" s="100" t="s">
        <v>295</v>
      </c>
      <c r="B259" s="24"/>
      <c r="C259" s="99" t="s">
        <v>222</v>
      </c>
      <c r="D259" s="37">
        <f>D263+D260</f>
        <v>16509</v>
      </c>
      <c r="E259" s="37">
        <f>E263+E260</f>
        <v>16509</v>
      </c>
    </row>
    <row r="260" spans="1:5">
      <c r="A260" s="98" t="s">
        <v>296</v>
      </c>
      <c r="B260" s="98"/>
      <c r="C260" s="62" t="s">
        <v>223</v>
      </c>
      <c r="D260" s="37">
        <f t="shared" ref="D260:E261" si="43">D261</f>
        <v>990.09999999999991</v>
      </c>
      <c r="E260" s="37">
        <f t="shared" si="43"/>
        <v>990.1</v>
      </c>
    </row>
    <row r="261" spans="1:5" ht="31.5">
      <c r="A261" s="98" t="s">
        <v>296</v>
      </c>
      <c r="B261" s="100" t="s">
        <v>67</v>
      </c>
      <c r="C261" s="56" t="s">
        <v>90</v>
      </c>
      <c r="D261" s="37">
        <f t="shared" si="43"/>
        <v>990.09999999999991</v>
      </c>
      <c r="E261" s="37">
        <f t="shared" si="43"/>
        <v>990.1</v>
      </c>
    </row>
    <row r="262" spans="1:5" ht="31.5">
      <c r="A262" s="98" t="s">
        <v>296</v>
      </c>
      <c r="B262" s="98">
        <v>240</v>
      </c>
      <c r="C262" s="56" t="s">
        <v>216</v>
      </c>
      <c r="D262" s="37">
        <f>' № 7  рп, кцср, квр'!E274</f>
        <v>990.09999999999991</v>
      </c>
      <c r="E262" s="37">
        <f>' № 7  рп, кцср, квр'!F274</f>
        <v>990.1</v>
      </c>
    </row>
    <row r="263" spans="1:5">
      <c r="A263" s="100" t="s">
        <v>297</v>
      </c>
      <c r="B263" s="98"/>
      <c r="C263" s="97" t="s">
        <v>214</v>
      </c>
      <c r="D263" s="37">
        <f t="shared" ref="D263:E264" si="44">D264</f>
        <v>15518.900000000001</v>
      </c>
      <c r="E263" s="37">
        <f t="shared" si="44"/>
        <v>15518.9</v>
      </c>
    </row>
    <row r="264" spans="1:5" ht="31.5">
      <c r="A264" s="100" t="s">
        <v>297</v>
      </c>
      <c r="B264" s="100" t="s">
        <v>67</v>
      </c>
      <c r="C264" s="99" t="s">
        <v>90</v>
      </c>
      <c r="D264" s="37">
        <f t="shared" si="44"/>
        <v>15518.900000000001</v>
      </c>
      <c r="E264" s="37">
        <f t="shared" si="44"/>
        <v>15518.9</v>
      </c>
    </row>
    <row r="265" spans="1:5" ht="31.5">
      <c r="A265" s="100" t="s">
        <v>297</v>
      </c>
      <c r="B265" s="98">
        <v>240</v>
      </c>
      <c r="C265" s="99" t="s">
        <v>216</v>
      </c>
      <c r="D265" s="37">
        <f>' № 7  рп, кцср, квр'!E277</f>
        <v>15518.900000000001</v>
      </c>
      <c r="E265" s="37">
        <f>' № 7  рп, кцср, квр'!F277</f>
        <v>15518.9</v>
      </c>
    </row>
    <row r="266" spans="1:5">
      <c r="A266" s="150">
        <v>2310100000</v>
      </c>
      <c r="B266" s="151"/>
      <c r="C266" s="114" t="s">
        <v>343</v>
      </c>
      <c r="D266" s="21">
        <f>D267+D270</f>
        <v>1601.8000000000002</v>
      </c>
      <c r="E266" s="21">
        <f>E267+E270</f>
        <v>1434.5</v>
      </c>
    </row>
    <row r="267" spans="1:5">
      <c r="A267" s="150">
        <v>2310111180</v>
      </c>
      <c r="B267" s="151"/>
      <c r="C267" s="71" t="s">
        <v>344</v>
      </c>
      <c r="D267" s="21">
        <f>D268</f>
        <v>1000</v>
      </c>
      <c r="E267" s="21">
        <f>E268</f>
        <v>920.7</v>
      </c>
    </row>
    <row r="268" spans="1:5" ht="31.5">
      <c r="A268" s="150">
        <v>2310111180</v>
      </c>
      <c r="B268" s="150" t="s">
        <v>67</v>
      </c>
      <c r="C268" s="152" t="s">
        <v>90</v>
      </c>
      <c r="D268" s="21">
        <f>D269</f>
        <v>1000</v>
      </c>
      <c r="E268" s="21">
        <f>E269</f>
        <v>920.7</v>
      </c>
    </row>
    <row r="269" spans="1:5" ht="31.5">
      <c r="A269" s="150">
        <v>2310111180</v>
      </c>
      <c r="B269" s="151">
        <v>240</v>
      </c>
      <c r="C269" s="152" t="s">
        <v>216</v>
      </c>
      <c r="D269" s="21">
        <f>' № 7  рп, кцср, квр'!E281</f>
        <v>1000</v>
      </c>
      <c r="E269" s="21">
        <f>' № 7  рп, кцср, квр'!F281</f>
        <v>920.7</v>
      </c>
    </row>
    <row r="270" spans="1:5">
      <c r="A270" s="150">
        <v>2310120100</v>
      </c>
      <c r="B270" s="151"/>
      <c r="C270" s="152" t="s">
        <v>223</v>
      </c>
      <c r="D270" s="21">
        <f>D271</f>
        <v>601.80000000000007</v>
      </c>
      <c r="E270" s="21">
        <f>E271</f>
        <v>513.79999999999995</v>
      </c>
    </row>
    <row r="271" spans="1:5" ht="31.5">
      <c r="A271" s="150">
        <v>2310120100</v>
      </c>
      <c r="B271" s="150" t="s">
        <v>67</v>
      </c>
      <c r="C271" s="152" t="s">
        <v>90</v>
      </c>
      <c r="D271" s="21">
        <f>D272</f>
        <v>601.80000000000007</v>
      </c>
      <c r="E271" s="21">
        <f>E272</f>
        <v>513.79999999999995</v>
      </c>
    </row>
    <row r="272" spans="1:5" ht="31.5">
      <c r="A272" s="150">
        <v>2310120100</v>
      </c>
      <c r="B272" s="151">
        <v>240</v>
      </c>
      <c r="C272" s="152" t="s">
        <v>216</v>
      </c>
      <c r="D272" s="21">
        <f>' № 7  рп, кцср, квр'!E284</f>
        <v>601.80000000000007</v>
      </c>
      <c r="E272" s="21">
        <f>' № 7  рп, кцср, квр'!F284</f>
        <v>513.79999999999995</v>
      </c>
    </row>
    <row r="273" spans="1:5">
      <c r="A273" s="100">
        <v>2320000000</v>
      </c>
      <c r="B273" s="98"/>
      <c r="C273" s="99" t="s">
        <v>174</v>
      </c>
      <c r="D273" s="37">
        <f>D290+D274+D316+D312</f>
        <v>58901.100000000006</v>
      </c>
      <c r="E273" s="37">
        <f>E290+E274+E316+E312</f>
        <v>55613.399999999994</v>
      </c>
    </row>
    <row r="274" spans="1:5" ht="31.5">
      <c r="A274" s="146">
        <v>2320100000</v>
      </c>
      <c r="B274" s="147"/>
      <c r="C274" s="148" t="s">
        <v>338</v>
      </c>
      <c r="D274" s="37">
        <f>D284+D275+D281+D287+D278</f>
        <v>2945.8</v>
      </c>
      <c r="E274" s="37">
        <f>E284+E275+E281+E287+E278</f>
        <v>2894.9</v>
      </c>
    </row>
    <row r="275" spans="1:5" ht="63">
      <c r="A275" s="167">
        <v>2320119020</v>
      </c>
      <c r="B275" s="167"/>
      <c r="C275" s="168" t="s">
        <v>356</v>
      </c>
      <c r="D275" s="37">
        <f>D276</f>
        <v>539.20000000000005</v>
      </c>
      <c r="E275" s="37">
        <f>E276</f>
        <v>539.20000000000005</v>
      </c>
    </row>
    <row r="276" spans="1:5" ht="31.5">
      <c r="A276" s="167">
        <v>2320119020</v>
      </c>
      <c r="B276" s="166" t="s">
        <v>67</v>
      </c>
      <c r="C276" s="168" t="s">
        <v>90</v>
      </c>
      <c r="D276" s="37">
        <f>D277</f>
        <v>539.20000000000005</v>
      </c>
      <c r="E276" s="37">
        <f>E277</f>
        <v>539.20000000000005</v>
      </c>
    </row>
    <row r="277" spans="1:5" ht="31.5">
      <c r="A277" s="167">
        <v>2320119020</v>
      </c>
      <c r="B277" s="167">
        <v>240</v>
      </c>
      <c r="C277" s="168" t="s">
        <v>216</v>
      </c>
      <c r="D277" s="37">
        <f>' № 7  рп, кцср, квр'!E289</f>
        <v>539.20000000000005</v>
      </c>
      <c r="E277" s="37">
        <f>' № 7  рп, кцср, квр'!F289</f>
        <v>539.20000000000005</v>
      </c>
    </row>
    <row r="278" spans="1:5" ht="78.75">
      <c r="A278" s="188">
        <v>2320119040</v>
      </c>
      <c r="B278" s="188"/>
      <c r="C278" s="189" t="s">
        <v>383</v>
      </c>
      <c r="D278" s="37">
        <f>D279</f>
        <v>586.90000000000009</v>
      </c>
      <c r="E278" s="37">
        <f>E279</f>
        <v>586.9</v>
      </c>
    </row>
    <row r="279" spans="1:5" ht="31.5">
      <c r="A279" s="188">
        <v>2320119040</v>
      </c>
      <c r="B279" s="187" t="s">
        <v>67</v>
      </c>
      <c r="C279" s="189" t="s">
        <v>90</v>
      </c>
      <c r="D279" s="37">
        <f>D280</f>
        <v>586.90000000000009</v>
      </c>
      <c r="E279" s="37">
        <f>E280</f>
        <v>586.9</v>
      </c>
    </row>
    <row r="280" spans="1:5" ht="31.5">
      <c r="A280" s="188">
        <v>2320119040</v>
      </c>
      <c r="B280" s="188">
        <v>240</v>
      </c>
      <c r="C280" s="189" t="s">
        <v>216</v>
      </c>
      <c r="D280" s="37">
        <f>' № 7  рп, кцср, квр'!E292</f>
        <v>586.90000000000009</v>
      </c>
      <c r="E280" s="37">
        <f>' № 7  рп, кцср, квр'!F292</f>
        <v>586.9</v>
      </c>
    </row>
    <row r="281" spans="1:5">
      <c r="A281" s="184">
        <v>2320120100</v>
      </c>
      <c r="B281" s="185"/>
      <c r="C281" s="186" t="s">
        <v>223</v>
      </c>
      <c r="D281" s="37">
        <f>D282</f>
        <v>1483.0000000000002</v>
      </c>
      <c r="E281" s="37">
        <f>E282</f>
        <v>1432.1</v>
      </c>
    </row>
    <row r="282" spans="1:5" ht="31.5">
      <c r="A282" s="184">
        <v>2320120100</v>
      </c>
      <c r="B282" s="184" t="s">
        <v>67</v>
      </c>
      <c r="C282" s="186" t="s">
        <v>90</v>
      </c>
      <c r="D282" s="37">
        <f>D283</f>
        <v>1483.0000000000002</v>
      </c>
      <c r="E282" s="37">
        <f>E283</f>
        <v>1432.1</v>
      </c>
    </row>
    <row r="283" spans="1:5" ht="31.5">
      <c r="A283" s="184">
        <v>2320120100</v>
      </c>
      <c r="B283" s="185">
        <v>240</v>
      </c>
      <c r="C283" s="186" t="s">
        <v>216</v>
      </c>
      <c r="D283" s="37">
        <f>' № 7  рп, кцср, квр'!E295</f>
        <v>1483.0000000000002</v>
      </c>
      <c r="E283" s="37">
        <f>' № 7  рп, кцср, квр'!F295</f>
        <v>1432.1</v>
      </c>
    </row>
    <row r="284" spans="1:5" ht="63">
      <c r="A284" s="123" t="s">
        <v>319</v>
      </c>
      <c r="B284" s="123"/>
      <c r="C284" s="164" t="s">
        <v>354</v>
      </c>
      <c r="D284" s="37">
        <f t="shared" ref="D284:E285" si="45">D285</f>
        <v>231.1</v>
      </c>
      <c r="E284" s="37">
        <f t="shared" si="45"/>
        <v>231.1</v>
      </c>
    </row>
    <row r="285" spans="1:5" ht="31.5">
      <c r="A285" s="123" t="s">
        <v>319</v>
      </c>
      <c r="B285" s="122" t="s">
        <v>67</v>
      </c>
      <c r="C285" s="124" t="s">
        <v>90</v>
      </c>
      <c r="D285" s="37">
        <f t="shared" si="45"/>
        <v>231.1</v>
      </c>
      <c r="E285" s="37">
        <f t="shared" si="45"/>
        <v>231.1</v>
      </c>
    </row>
    <row r="286" spans="1:5" ht="31.5">
      <c r="A286" s="123" t="s">
        <v>319</v>
      </c>
      <c r="B286" s="123">
        <v>240</v>
      </c>
      <c r="C286" s="124" t="s">
        <v>216</v>
      </c>
      <c r="D286" s="37">
        <f>' № 7  рп, кцср, квр'!E298</f>
        <v>231.1</v>
      </c>
      <c r="E286" s="37">
        <f>' № 7  рп, кцср, квр'!F298</f>
        <v>231.1</v>
      </c>
    </row>
    <row r="287" spans="1:5" ht="71.25" customHeight="1">
      <c r="A287" s="185" t="s">
        <v>379</v>
      </c>
      <c r="B287" s="185"/>
      <c r="C287" s="186" t="s">
        <v>380</v>
      </c>
      <c r="D287" s="37">
        <f>D288</f>
        <v>105.6</v>
      </c>
      <c r="E287" s="37">
        <f>E288</f>
        <v>105.6</v>
      </c>
    </row>
    <row r="288" spans="1:5" ht="31.5">
      <c r="A288" s="185" t="s">
        <v>379</v>
      </c>
      <c r="B288" s="184" t="s">
        <v>67</v>
      </c>
      <c r="C288" s="186" t="s">
        <v>90</v>
      </c>
      <c r="D288" s="37">
        <f>D289</f>
        <v>105.6</v>
      </c>
      <c r="E288" s="37">
        <f>E289</f>
        <v>105.6</v>
      </c>
    </row>
    <row r="289" spans="1:5" ht="31.5">
      <c r="A289" s="185" t="s">
        <v>379</v>
      </c>
      <c r="B289" s="185">
        <v>240</v>
      </c>
      <c r="C289" s="186" t="s">
        <v>216</v>
      </c>
      <c r="D289" s="37">
        <f>' № 7  рп, кцср, квр'!E301</f>
        <v>105.6</v>
      </c>
      <c r="E289" s="37">
        <f>' № 7  рп, кцср, квр'!F301</f>
        <v>105.6</v>
      </c>
    </row>
    <row r="290" spans="1:5">
      <c r="A290" s="100">
        <v>2320200000</v>
      </c>
      <c r="B290" s="98"/>
      <c r="C290" s="99" t="s">
        <v>123</v>
      </c>
      <c r="D290" s="37">
        <f>D291+D294+D297+D306+D300+D309+D303</f>
        <v>54213.3</v>
      </c>
      <c r="E290" s="37">
        <f>E291+E294+E297+E306+E300+E309+E303</f>
        <v>51677.799999999996</v>
      </c>
    </row>
    <row r="291" spans="1:5">
      <c r="A291" s="98">
        <v>2320220050</v>
      </c>
      <c r="B291" s="98"/>
      <c r="C291" s="99" t="s">
        <v>124</v>
      </c>
      <c r="D291" s="37">
        <f t="shared" ref="D291:E292" si="46">D292</f>
        <v>19729.000000000004</v>
      </c>
      <c r="E291" s="37">
        <f t="shared" si="46"/>
        <v>18741.3</v>
      </c>
    </row>
    <row r="292" spans="1:5" ht="31.5">
      <c r="A292" s="98">
        <v>2320220050</v>
      </c>
      <c r="B292" s="100" t="s">
        <v>67</v>
      </c>
      <c r="C292" s="99" t="s">
        <v>90</v>
      </c>
      <c r="D292" s="37">
        <f t="shared" si="46"/>
        <v>19729.000000000004</v>
      </c>
      <c r="E292" s="37">
        <f t="shared" si="46"/>
        <v>18741.3</v>
      </c>
    </row>
    <row r="293" spans="1:5" ht="31.5">
      <c r="A293" s="98">
        <v>2320220050</v>
      </c>
      <c r="B293" s="98">
        <v>240</v>
      </c>
      <c r="C293" s="99" t="s">
        <v>216</v>
      </c>
      <c r="D293" s="37">
        <f>' № 7  рп, кцср, квр'!E305</f>
        <v>19729.000000000004</v>
      </c>
      <c r="E293" s="37">
        <f>' № 7  рп, кцср, квр'!F305</f>
        <v>18741.3</v>
      </c>
    </row>
    <row r="294" spans="1:5">
      <c r="A294" s="98">
        <v>2320220070</v>
      </c>
      <c r="B294" s="98"/>
      <c r="C294" s="99" t="s">
        <v>125</v>
      </c>
      <c r="D294" s="37">
        <f t="shared" ref="D294:E295" si="47">D295</f>
        <v>6478.2000000000007</v>
      </c>
      <c r="E294" s="37">
        <f t="shared" si="47"/>
        <v>6474.8</v>
      </c>
    </row>
    <row r="295" spans="1:5" ht="31.5">
      <c r="A295" s="121">
        <v>2320220070</v>
      </c>
      <c r="B295" s="100" t="s">
        <v>67</v>
      </c>
      <c r="C295" s="99" t="s">
        <v>90</v>
      </c>
      <c r="D295" s="37">
        <f t="shared" si="47"/>
        <v>6478.2000000000007</v>
      </c>
      <c r="E295" s="37">
        <f t="shared" si="47"/>
        <v>6474.8</v>
      </c>
    </row>
    <row r="296" spans="1:5" ht="31.5">
      <c r="A296" s="121">
        <v>2320220070</v>
      </c>
      <c r="B296" s="98">
        <v>240</v>
      </c>
      <c r="C296" s="99" t="s">
        <v>216</v>
      </c>
      <c r="D296" s="37">
        <f>' № 7  рп, кцср, квр'!E308</f>
        <v>6478.2000000000007</v>
      </c>
      <c r="E296" s="37">
        <f>' № 7  рп, кцср, квр'!F308</f>
        <v>6474.8</v>
      </c>
    </row>
    <row r="297" spans="1:5">
      <c r="A297" s="98">
        <v>2320220080</v>
      </c>
      <c r="B297" s="98"/>
      <c r="C297" s="99" t="s">
        <v>126</v>
      </c>
      <c r="D297" s="37">
        <f t="shared" ref="D297:E298" si="48">D298</f>
        <v>1507.3</v>
      </c>
      <c r="E297" s="37">
        <f t="shared" si="48"/>
        <v>1410.3</v>
      </c>
    </row>
    <row r="298" spans="1:5" ht="31.5">
      <c r="A298" s="98">
        <v>2320220080</v>
      </c>
      <c r="B298" s="100" t="s">
        <v>67</v>
      </c>
      <c r="C298" s="99" t="s">
        <v>90</v>
      </c>
      <c r="D298" s="37">
        <f t="shared" si="48"/>
        <v>1507.3</v>
      </c>
      <c r="E298" s="37">
        <f t="shared" si="48"/>
        <v>1410.3</v>
      </c>
    </row>
    <row r="299" spans="1:5" ht="31.5">
      <c r="A299" s="98">
        <v>2320220080</v>
      </c>
      <c r="B299" s="98">
        <v>240</v>
      </c>
      <c r="C299" s="99" t="s">
        <v>216</v>
      </c>
      <c r="D299" s="37">
        <f>' № 7  рп, кцср, квр'!E311</f>
        <v>1507.3</v>
      </c>
      <c r="E299" s="37">
        <f>' № 7  рп, кцср, квр'!F311</f>
        <v>1410.3</v>
      </c>
    </row>
    <row r="300" spans="1:5">
      <c r="A300" s="179">
        <v>2320220090</v>
      </c>
      <c r="B300" s="179"/>
      <c r="C300" s="8" t="s">
        <v>374</v>
      </c>
      <c r="D300" s="37">
        <f>D301</f>
        <v>740.6</v>
      </c>
      <c r="E300" s="37">
        <f>E301</f>
        <v>740.6</v>
      </c>
    </row>
    <row r="301" spans="1:5" ht="31.5">
      <c r="A301" s="179">
        <v>2320220090</v>
      </c>
      <c r="B301" s="178" t="s">
        <v>67</v>
      </c>
      <c r="C301" s="180" t="s">
        <v>90</v>
      </c>
      <c r="D301" s="37">
        <f>D302</f>
        <v>740.6</v>
      </c>
      <c r="E301" s="37">
        <f>E302</f>
        <v>740.6</v>
      </c>
    </row>
    <row r="302" spans="1:5" ht="31.5">
      <c r="A302" s="179">
        <v>2320220090</v>
      </c>
      <c r="B302" s="179">
        <v>240</v>
      </c>
      <c r="C302" s="180" t="s">
        <v>216</v>
      </c>
      <c r="D302" s="37">
        <f>' № 7  рп, кцср, квр'!E314</f>
        <v>740.6</v>
      </c>
      <c r="E302" s="37">
        <f>' № 7  рп, кцср, квр'!F314</f>
        <v>740.6</v>
      </c>
    </row>
    <row r="303" spans="1:5" ht="31.5">
      <c r="A303" s="197">
        <v>2320220100</v>
      </c>
      <c r="B303" s="197"/>
      <c r="C303" s="8" t="s">
        <v>391</v>
      </c>
      <c r="D303" s="37">
        <f>D304</f>
        <v>39</v>
      </c>
      <c r="E303" s="37">
        <f>E304</f>
        <v>27.4</v>
      </c>
    </row>
    <row r="304" spans="1:5" ht="31.5">
      <c r="A304" s="197">
        <v>2320220100</v>
      </c>
      <c r="B304" s="196" t="s">
        <v>67</v>
      </c>
      <c r="C304" s="198" t="s">
        <v>90</v>
      </c>
      <c r="D304" s="37">
        <f>D305</f>
        <v>39</v>
      </c>
      <c r="E304" s="37">
        <f>E305</f>
        <v>27.4</v>
      </c>
    </row>
    <row r="305" spans="1:5" ht="31.5">
      <c r="A305" s="197">
        <v>2320220100</v>
      </c>
      <c r="B305" s="197">
        <v>240</v>
      </c>
      <c r="C305" s="198" t="s">
        <v>216</v>
      </c>
      <c r="D305" s="37">
        <f>' № 7  рп, кцср, квр'!E317</f>
        <v>39</v>
      </c>
      <c r="E305" s="37">
        <f>' № 7  рп, кцср, квр'!F317</f>
        <v>27.4</v>
      </c>
    </row>
    <row r="306" spans="1:5">
      <c r="A306" s="151">
        <v>2320220110</v>
      </c>
      <c r="B306" s="151"/>
      <c r="C306" s="152" t="s">
        <v>345</v>
      </c>
      <c r="D306" s="37">
        <f>D307</f>
        <v>25672.1</v>
      </c>
      <c r="E306" s="37">
        <f>E307</f>
        <v>24236.3</v>
      </c>
    </row>
    <row r="307" spans="1:5" ht="31.5">
      <c r="A307" s="151">
        <v>2320220110</v>
      </c>
      <c r="B307" s="150" t="s">
        <v>67</v>
      </c>
      <c r="C307" s="152" t="s">
        <v>90</v>
      </c>
      <c r="D307" s="37">
        <f>D308</f>
        <v>25672.1</v>
      </c>
      <c r="E307" s="37">
        <f>E308</f>
        <v>24236.3</v>
      </c>
    </row>
    <row r="308" spans="1:5" ht="31.5">
      <c r="A308" s="151">
        <v>2320220110</v>
      </c>
      <c r="B308" s="151">
        <v>240</v>
      </c>
      <c r="C308" s="152" t="s">
        <v>216</v>
      </c>
      <c r="D308" s="37">
        <f>' № 7  рп, кцср, квр'!E320</f>
        <v>25672.1</v>
      </c>
      <c r="E308" s="37">
        <f>' № 7  рп, кцср, квр'!F320</f>
        <v>24236.3</v>
      </c>
    </row>
    <row r="309" spans="1:5">
      <c r="A309" s="191">
        <v>2320220280</v>
      </c>
      <c r="B309" s="191"/>
      <c r="C309" s="192" t="s">
        <v>385</v>
      </c>
      <c r="D309" s="37">
        <f>D310</f>
        <v>47.1</v>
      </c>
      <c r="E309" s="37">
        <f>E310</f>
        <v>47.1</v>
      </c>
    </row>
    <row r="310" spans="1:5" ht="31.5">
      <c r="A310" s="191">
        <v>2320220280</v>
      </c>
      <c r="B310" s="190" t="s">
        <v>67</v>
      </c>
      <c r="C310" s="192" t="s">
        <v>90</v>
      </c>
      <c r="D310" s="37">
        <f>D311</f>
        <v>47.1</v>
      </c>
      <c r="E310" s="37">
        <f>E311</f>
        <v>47.1</v>
      </c>
    </row>
    <row r="311" spans="1:5" ht="31.5">
      <c r="A311" s="191">
        <v>2320220280</v>
      </c>
      <c r="B311" s="191">
        <v>240</v>
      </c>
      <c r="C311" s="192" t="s">
        <v>216</v>
      </c>
      <c r="D311" s="37">
        <f>' № 7  рп, кцср, квр'!E323</f>
        <v>47.1</v>
      </c>
      <c r="E311" s="37">
        <f>' № 7  рп, кцср, квр'!F323</f>
        <v>47.1</v>
      </c>
    </row>
    <row r="312" spans="1:5">
      <c r="A312" s="166">
        <v>2320300000</v>
      </c>
      <c r="B312" s="167"/>
      <c r="C312" s="168" t="s">
        <v>361</v>
      </c>
      <c r="D312" s="21">
        <f t="shared" ref="D312:E314" si="49">D313</f>
        <v>1543.7</v>
      </c>
      <c r="E312" s="21">
        <f t="shared" si="49"/>
        <v>1040.7</v>
      </c>
    </row>
    <row r="313" spans="1:5">
      <c r="A313" s="167">
        <v>2320320060</v>
      </c>
      <c r="B313" s="167"/>
      <c r="C313" s="168" t="s">
        <v>362</v>
      </c>
      <c r="D313" s="21">
        <f t="shared" si="49"/>
        <v>1543.7</v>
      </c>
      <c r="E313" s="21">
        <f t="shared" si="49"/>
        <v>1040.7</v>
      </c>
    </row>
    <row r="314" spans="1:5" ht="31.5">
      <c r="A314" s="167">
        <v>2320320060</v>
      </c>
      <c r="B314" s="166" t="s">
        <v>70</v>
      </c>
      <c r="C314" s="56" t="s">
        <v>91</v>
      </c>
      <c r="D314" s="21">
        <f t="shared" si="49"/>
        <v>1543.7</v>
      </c>
      <c r="E314" s="21">
        <f t="shared" si="49"/>
        <v>1040.7</v>
      </c>
    </row>
    <row r="315" spans="1:5">
      <c r="A315" s="167">
        <v>2320320060</v>
      </c>
      <c r="B315" s="166" t="s">
        <v>114</v>
      </c>
      <c r="C315" s="56" t="s">
        <v>115</v>
      </c>
      <c r="D315" s="21">
        <f>' № 7  рп, кцср, квр'!E327</f>
        <v>1543.7</v>
      </c>
      <c r="E315" s="21">
        <f>' № 7  рп, кцср, квр'!F327</f>
        <v>1040.7</v>
      </c>
    </row>
    <row r="316" spans="1:5" ht="31.5">
      <c r="A316" s="166">
        <v>2320500000</v>
      </c>
      <c r="B316" s="166"/>
      <c r="C316" s="168" t="s">
        <v>360</v>
      </c>
      <c r="D316" s="21">
        <f t="shared" ref="D316:E318" si="50">D317</f>
        <v>198.3</v>
      </c>
      <c r="E316" s="21">
        <f t="shared" si="50"/>
        <v>0</v>
      </c>
    </row>
    <row r="317" spans="1:5">
      <c r="A317" s="166">
        <v>2320520100</v>
      </c>
      <c r="B317" s="166"/>
      <c r="C317" s="56" t="s">
        <v>223</v>
      </c>
      <c r="D317" s="21">
        <f t="shared" si="50"/>
        <v>198.3</v>
      </c>
      <c r="E317" s="21">
        <f t="shared" si="50"/>
        <v>0</v>
      </c>
    </row>
    <row r="318" spans="1:5" ht="31.5">
      <c r="A318" s="166">
        <v>2320520100</v>
      </c>
      <c r="B318" s="166" t="s">
        <v>67</v>
      </c>
      <c r="C318" s="168" t="s">
        <v>90</v>
      </c>
      <c r="D318" s="21">
        <f t="shared" si="50"/>
        <v>198.3</v>
      </c>
      <c r="E318" s="21">
        <f t="shared" si="50"/>
        <v>0</v>
      </c>
    </row>
    <row r="319" spans="1:5" ht="31.5">
      <c r="A319" s="166">
        <v>2320520100</v>
      </c>
      <c r="B319" s="167">
        <v>240</v>
      </c>
      <c r="C319" s="168" t="s">
        <v>216</v>
      </c>
      <c r="D319" s="21">
        <f>' № 7  рп, кцср, квр'!E331</f>
        <v>198.3</v>
      </c>
      <c r="E319" s="21">
        <f>' № 7  рп, кцср, квр'!F331</f>
        <v>0</v>
      </c>
    </row>
    <row r="320" spans="1:5" ht="18" customHeight="1">
      <c r="A320" s="122">
        <v>2330000000</v>
      </c>
      <c r="B320" s="123"/>
      <c r="C320" s="124" t="s">
        <v>329</v>
      </c>
      <c r="D320" s="37">
        <f>D321</f>
        <v>3014.5</v>
      </c>
      <c r="E320" s="37">
        <f>E321</f>
        <v>2410</v>
      </c>
    </row>
    <row r="321" spans="1:5" ht="47.25">
      <c r="A321" s="122">
        <v>2330100000</v>
      </c>
      <c r="B321" s="123"/>
      <c r="C321" s="124" t="s">
        <v>206</v>
      </c>
      <c r="D321" s="37">
        <f>D322+D325</f>
        <v>3014.5</v>
      </c>
      <c r="E321" s="37">
        <f>E322+E325</f>
        <v>2410</v>
      </c>
    </row>
    <row r="322" spans="1:5">
      <c r="A322" s="122">
        <v>2330120090</v>
      </c>
      <c r="B322" s="123"/>
      <c r="C322" s="124" t="s">
        <v>317</v>
      </c>
      <c r="D322" s="37">
        <f t="shared" ref="D322:E323" si="51">D323</f>
        <v>1238.4000000000001</v>
      </c>
      <c r="E322" s="37">
        <f t="shared" si="51"/>
        <v>797.2</v>
      </c>
    </row>
    <row r="323" spans="1:5" ht="31.5">
      <c r="A323" s="122">
        <v>2330120090</v>
      </c>
      <c r="B323" s="122" t="s">
        <v>67</v>
      </c>
      <c r="C323" s="124" t="s">
        <v>90</v>
      </c>
      <c r="D323" s="37">
        <f t="shared" si="51"/>
        <v>1238.4000000000001</v>
      </c>
      <c r="E323" s="37">
        <f t="shared" si="51"/>
        <v>797.2</v>
      </c>
    </row>
    <row r="324" spans="1:5" ht="31.5">
      <c r="A324" s="122">
        <v>2330120090</v>
      </c>
      <c r="B324" s="123">
        <v>240</v>
      </c>
      <c r="C324" s="124" t="s">
        <v>216</v>
      </c>
      <c r="D324" s="37">
        <f>' № 7  рп, кцср, квр'!E336</f>
        <v>1238.4000000000001</v>
      </c>
      <c r="E324" s="37">
        <f>' № 7  рп, кцср, квр'!F336</f>
        <v>797.2</v>
      </c>
    </row>
    <row r="325" spans="1:5">
      <c r="A325" s="122">
        <v>2330120100</v>
      </c>
      <c r="B325" s="78"/>
      <c r="C325" s="42" t="s">
        <v>318</v>
      </c>
      <c r="D325" s="37">
        <f t="shared" ref="D325:E326" si="52">D326</f>
        <v>1776.1</v>
      </c>
      <c r="E325" s="37">
        <f t="shared" si="52"/>
        <v>1612.8</v>
      </c>
    </row>
    <row r="326" spans="1:5" ht="31.5">
      <c r="A326" s="122">
        <v>2330120100</v>
      </c>
      <c r="B326" s="109" t="s">
        <v>67</v>
      </c>
      <c r="C326" s="124" t="s">
        <v>90</v>
      </c>
      <c r="D326" s="37">
        <f t="shared" si="52"/>
        <v>1776.1</v>
      </c>
      <c r="E326" s="37">
        <f t="shared" si="52"/>
        <v>1612.8</v>
      </c>
    </row>
    <row r="327" spans="1:5" ht="31.5">
      <c r="A327" s="122">
        <v>2330120100</v>
      </c>
      <c r="B327" s="78">
        <v>240</v>
      </c>
      <c r="C327" s="124" t="s">
        <v>216</v>
      </c>
      <c r="D327" s="37">
        <f>' № 7  рп, кцср, квр'!E339</f>
        <v>1776.1</v>
      </c>
      <c r="E327" s="37">
        <f>' № 7  рп, кцср, квр'!F339</f>
        <v>1612.8</v>
      </c>
    </row>
    <row r="328" spans="1:5" ht="47.25">
      <c r="A328" s="28">
        <v>2400000000</v>
      </c>
      <c r="B328" s="98"/>
      <c r="C328" s="45" t="s">
        <v>314</v>
      </c>
      <c r="D328" s="36">
        <f>D329+D354+D370</f>
        <v>270288.90000000002</v>
      </c>
      <c r="E328" s="36">
        <f>E329+E354+E370</f>
        <v>138606.70000000001</v>
      </c>
    </row>
    <row r="329" spans="1:5">
      <c r="A329" s="100">
        <v>2410000000</v>
      </c>
      <c r="B329" s="98"/>
      <c r="C329" s="99" t="s">
        <v>119</v>
      </c>
      <c r="D329" s="37">
        <f>D330+D334+D344</f>
        <v>115492.9</v>
      </c>
      <c r="E329" s="37">
        <f>E330+E334+E344</f>
        <v>110976.59999999999</v>
      </c>
    </row>
    <row r="330" spans="1:5">
      <c r="A330" s="100">
        <v>2410100000</v>
      </c>
      <c r="B330" s="24"/>
      <c r="C330" s="99" t="s">
        <v>171</v>
      </c>
      <c r="D330" s="37">
        <f t="shared" ref="D330:E332" si="53">D331</f>
        <v>54300.899999999994</v>
      </c>
      <c r="E330" s="37">
        <f t="shared" si="53"/>
        <v>54250.5</v>
      </c>
    </row>
    <row r="331" spans="1:5" ht="31.5">
      <c r="A331" s="98">
        <v>2410120100</v>
      </c>
      <c r="B331" s="98"/>
      <c r="C331" s="99" t="s">
        <v>120</v>
      </c>
      <c r="D331" s="37">
        <f t="shared" si="53"/>
        <v>54300.899999999994</v>
      </c>
      <c r="E331" s="37">
        <f t="shared" si="53"/>
        <v>54250.5</v>
      </c>
    </row>
    <row r="332" spans="1:5" ht="31.5">
      <c r="A332" s="98">
        <v>2410120100</v>
      </c>
      <c r="B332" s="100" t="s">
        <v>67</v>
      </c>
      <c r="C332" s="99" t="s">
        <v>90</v>
      </c>
      <c r="D332" s="37">
        <f t="shared" si="53"/>
        <v>54300.899999999994</v>
      </c>
      <c r="E332" s="37">
        <f t="shared" si="53"/>
        <v>54250.5</v>
      </c>
    </row>
    <row r="333" spans="1:5" ht="31.5">
      <c r="A333" s="98">
        <v>2410120100</v>
      </c>
      <c r="B333" s="98">
        <v>240</v>
      </c>
      <c r="C333" s="99" t="s">
        <v>216</v>
      </c>
      <c r="D333" s="37">
        <f>' № 7  рп, кцср, квр'!E193</f>
        <v>54300.899999999994</v>
      </c>
      <c r="E333" s="37">
        <f>' № 7  рп, кцср, квр'!F193</f>
        <v>54250.5</v>
      </c>
    </row>
    <row r="334" spans="1:5" ht="47.25">
      <c r="A334" s="100">
        <v>2410200000</v>
      </c>
      <c r="B334" s="98"/>
      <c r="C334" s="99" t="s">
        <v>172</v>
      </c>
      <c r="D334" s="37">
        <f>D335+D341+D338</f>
        <v>45519.199999999997</v>
      </c>
      <c r="E334" s="37">
        <f>E335+E341+E338</f>
        <v>42930.400000000001</v>
      </c>
    </row>
    <row r="335" spans="1:5" ht="31.5">
      <c r="A335" s="98">
        <v>2410211050</v>
      </c>
      <c r="B335" s="98"/>
      <c r="C335" s="99" t="s">
        <v>232</v>
      </c>
      <c r="D335" s="37">
        <f t="shared" ref="D335:E336" si="54">D336</f>
        <v>35262.1</v>
      </c>
      <c r="E335" s="37">
        <f t="shared" si="54"/>
        <v>33406.1</v>
      </c>
    </row>
    <row r="336" spans="1:5" ht="31.5">
      <c r="A336" s="98">
        <v>2410211050</v>
      </c>
      <c r="B336" s="100" t="s">
        <v>67</v>
      </c>
      <c r="C336" s="99" t="s">
        <v>90</v>
      </c>
      <c r="D336" s="37">
        <f t="shared" si="54"/>
        <v>35262.1</v>
      </c>
      <c r="E336" s="37">
        <f t="shared" si="54"/>
        <v>33406.1</v>
      </c>
    </row>
    <row r="337" spans="1:5" ht="31.5">
      <c r="A337" s="98">
        <v>2410211050</v>
      </c>
      <c r="B337" s="98">
        <v>240</v>
      </c>
      <c r="C337" s="99" t="s">
        <v>216</v>
      </c>
      <c r="D337" s="37">
        <f>' № 7  рп, кцср, квр'!E197</f>
        <v>35262.1</v>
      </c>
      <c r="E337" s="37">
        <f>' № 7  рп, кцср, квр'!F197</f>
        <v>33406.1</v>
      </c>
    </row>
    <row r="338" spans="1:5">
      <c r="A338" s="167">
        <v>2410220110</v>
      </c>
      <c r="B338" s="167"/>
      <c r="C338" s="56" t="s">
        <v>224</v>
      </c>
      <c r="D338" s="37">
        <f>D339</f>
        <v>6339.0999999999995</v>
      </c>
      <c r="E338" s="37">
        <f>E339</f>
        <v>5745.8</v>
      </c>
    </row>
    <row r="339" spans="1:5" ht="31.5">
      <c r="A339" s="167">
        <v>2410220110</v>
      </c>
      <c r="B339" s="166" t="s">
        <v>67</v>
      </c>
      <c r="C339" s="56" t="s">
        <v>90</v>
      </c>
      <c r="D339" s="37">
        <f>D340</f>
        <v>6339.0999999999995</v>
      </c>
      <c r="E339" s="37">
        <f>E340</f>
        <v>5745.8</v>
      </c>
    </row>
    <row r="340" spans="1:5" ht="31.5">
      <c r="A340" s="167">
        <v>2410220110</v>
      </c>
      <c r="B340" s="167">
        <v>240</v>
      </c>
      <c r="C340" s="56" t="s">
        <v>216</v>
      </c>
      <c r="D340" s="37">
        <f>' № 7  рп, кцср, квр'!E200</f>
        <v>6339.0999999999995</v>
      </c>
      <c r="E340" s="37">
        <f>' № 7  рп, кцср, квр'!F200</f>
        <v>5745.8</v>
      </c>
    </row>
    <row r="341" spans="1:5" ht="31.5">
      <c r="A341" s="98" t="s">
        <v>289</v>
      </c>
      <c r="B341" s="98"/>
      <c r="C341" s="99" t="s">
        <v>243</v>
      </c>
      <c r="D341" s="37">
        <f t="shared" ref="D341:E342" si="55">D342</f>
        <v>3918</v>
      </c>
      <c r="E341" s="37">
        <f t="shared" si="55"/>
        <v>3778.5</v>
      </c>
    </row>
    <row r="342" spans="1:5" ht="31.5">
      <c r="A342" s="98" t="s">
        <v>289</v>
      </c>
      <c r="B342" s="100" t="s">
        <v>67</v>
      </c>
      <c r="C342" s="99" t="s">
        <v>90</v>
      </c>
      <c r="D342" s="37">
        <f t="shared" si="55"/>
        <v>3918</v>
      </c>
      <c r="E342" s="37">
        <f t="shared" si="55"/>
        <v>3778.5</v>
      </c>
    </row>
    <row r="343" spans="1:5" ht="31.5">
      <c r="A343" s="98" t="s">
        <v>289</v>
      </c>
      <c r="B343" s="98">
        <v>240</v>
      </c>
      <c r="C343" s="99" t="s">
        <v>216</v>
      </c>
      <c r="D343" s="37">
        <f>' № 7  рп, кцср, квр'!E203</f>
        <v>3918</v>
      </c>
      <c r="E343" s="37">
        <f>' № 7  рп, кцср, квр'!F203</f>
        <v>3778.5</v>
      </c>
    </row>
    <row r="344" spans="1:5" ht="47.25">
      <c r="A344" s="98">
        <v>2410300000</v>
      </c>
      <c r="B344" s="98"/>
      <c r="C344" s="99" t="s">
        <v>226</v>
      </c>
      <c r="D344" s="37">
        <f>D345+D351+D348</f>
        <v>15672.800000000001</v>
      </c>
      <c r="E344" s="37">
        <f>E345+E351+E348</f>
        <v>13795.7</v>
      </c>
    </row>
    <row r="345" spans="1:5" ht="47.25">
      <c r="A345" s="98">
        <v>2410311020</v>
      </c>
      <c r="B345" s="98"/>
      <c r="C345" s="99" t="s">
        <v>233</v>
      </c>
      <c r="D345" s="37">
        <f t="shared" ref="D345:E346" si="56">D346</f>
        <v>10482</v>
      </c>
      <c r="E345" s="37">
        <f t="shared" si="56"/>
        <v>9359.2999999999993</v>
      </c>
    </row>
    <row r="346" spans="1:5" ht="31.5">
      <c r="A346" s="98">
        <v>2410311020</v>
      </c>
      <c r="B346" s="100" t="s">
        <v>67</v>
      </c>
      <c r="C346" s="99" t="s">
        <v>90</v>
      </c>
      <c r="D346" s="37">
        <f t="shared" si="56"/>
        <v>10482</v>
      </c>
      <c r="E346" s="37">
        <f t="shared" si="56"/>
        <v>9359.2999999999993</v>
      </c>
    </row>
    <row r="347" spans="1:5" ht="31.5">
      <c r="A347" s="98">
        <v>2410311020</v>
      </c>
      <c r="B347" s="98">
        <v>240</v>
      </c>
      <c r="C347" s="99" t="s">
        <v>216</v>
      </c>
      <c r="D347" s="37">
        <f>' № 7  рп, кцср, квр'!E207</f>
        <v>10482</v>
      </c>
      <c r="E347" s="37">
        <f>' № 7  рп, кцср, квр'!F207</f>
        <v>9359.2999999999993</v>
      </c>
    </row>
    <row r="348" spans="1:5">
      <c r="A348" s="98">
        <v>2410320110</v>
      </c>
      <c r="B348" s="98"/>
      <c r="C348" s="56" t="s">
        <v>224</v>
      </c>
      <c r="D348" s="37">
        <f t="shared" ref="D348:E349" si="57">D349</f>
        <v>4026.1000000000004</v>
      </c>
      <c r="E348" s="37">
        <f t="shared" si="57"/>
        <v>3396.2</v>
      </c>
    </row>
    <row r="349" spans="1:5" ht="31.5">
      <c r="A349" s="98">
        <v>2410320110</v>
      </c>
      <c r="B349" s="100" t="s">
        <v>67</v>
      </c>
      <c r="C349" s="56" t="s">
        <v>90</v>
      </c>
      <c r="D349" s="37">
        <f t="shared" si="57"/>
        <v>4026.1000000000004</v>
      </c>
      <c r="E349" s="37">
        <f t="shared" si="57"/>
        <v>3396.2</v>
      </c>
    </row>
    <row r="350" spans="1:5" ht="31.5">
      <c r="A350" s="98">
        <v>2410320110</v>
      </c>
      <c r="B350" s="98">
        <v>240</v>
      </c>
      <c r="C350" s="56" t="s">
        <v>216</v>
      </c>
      <c r="D350" s="37">
        <f>' № 7  рп, кцср, квр'!E210</f>
        <v>4026.1000000000004</v>
      </c>
      <c r="E350" s="37">
        <f>' № 7  рп, кцср, квр'!F210</f>
        <v>3396.2</v>
      </c>
    </row>
    <row r="351" spans="1:5" ht="47.25">
      <c r="A351" s="98" t="s">
        <v>290</v>
      </c>
      <c r="B351" s="98"/>
      <c r="C351" s="99" t="s">
        <v>244</v>
      </c>
      <c r="D351" s="37">
        <f t="shared" ref="D351:E352" si="58">D352</f>
        <v>1164.7</v>
      </c>
      <c r="E351" s="37">
        <f t="shared" si="58"/>
        <v>1040.2</v>
      </c>
    </row>
    <row r="352" spans="1:5" ht="31.5">
      <c r="A352" s="98" t="s">
        <v>290</v>
      </c>
      <c r="B352" s="100" t="s">
        <v>67</v>
      </c>
      <c r="C352" s="99" t="s">
        <v>90</v>
      </c>
      <c r="D352" s="37">
        <f t="shared" si="58"/>
        <v>1164.7</v>
      </c>
      <c r="E352" s="37">
        <f t="shared" si="58"/>
        <v>1040.2</v>
      </c>
    </row>
    <row r="353" spans="1:5" ht="31.5">
      <c r="A353" s="98" t="s">
        <v>290</v>
      </c>
      <c r="B353" s="98">
        <v>240</v>
      </c>
      <c r="C353" s="99" t="s">
        <v>216</v>
      </c>
      <c r="D353" s="37">
        <f>' № 7  рп, кцср, квр'!E213</f>
        <v>1164.7</v>
      </c>
      <c r="E353" s="37">
        <f>' № 7  рп, кцср, квр'!F213</f>
        <v>1040.2</v>
      </c>
    </row>
    <row r="354" spans="1:5">
      <c r="A354" s="100">
        <v>2420000000</v>
      </c>
      <c r="B354" s="98"/>
      <c r="C354" s="99" t="s">
        <v>121</v>
      </c>
      <c r="D354" s="37">
        <f>D355+D363+D359</f>
        <v>3967.5</v>
      </c>
      <c r="E354" s="37">
        <f>E355+E363+E359</f>
        <v>3529.1</v>
      </c>
    </row>
    <row r="355" spans="1:5" ht="31.5">
      <c r="A355" s="100">
        <v>2420100000</v>
      </c>
      <c r="B355" s="98"/>
      <c r="C355" s="99" t="s">
        <v>173</v>
      </c>
      <c r="D355" s="37">
        <f t="shared" ref="D355:E357" si="59">D356</f>
        <v>959</v>
      </c>
      <c r="E355" s="37">
        <f t="shared" si="59"/>
        <v>955.6</v>
      </c>
    </row>
    <row r="356" spans="1:5">
      <c r="A356" s="98">
        <v>2420120120</v>
      </c>
      <c r="B356" s="98"/>
      <c r="C356" s="99" t="s">
        <v>122</v>
      </c>
      <c r="D356" s="37">
        <f t="shared" si="59"/>
        <v>959</v>
      </c>
      <c r="E356" s="37">
        <f t="shared" si="59"/>
        <v>955.6</v>
      </c>
    </row>
    <row r="357" spans="1:5" ht="31.5">
      <c r="A357" s="98">
        <v>2420120120</v>
      </c>
      <c r="B357" s="100" t="s">
        <v>67</v>
      </c>
      <c r="C357" s="99" t="s">
        <v>90</v>
      </c>
      <c r="D357" s="37">
        <f t="shared" si="59"/>
        <v>959</v>
      </c>
      <c r="E357" s="37">
        <f t="shared" si="59"/>
        <v>955.6</v>
      </c>
    </row>
    <row r="358" spans="1:5" ht="31.5">
      <c r="A358" s="98">
        <v>2420120120</v>
      </c>
      <c r="B358" s="98">
        <v>240</v>
      </c>
      <c r="C358" s="99" t="s">
        <v>216</v>
      </c>
      <c r="D358" s="37">
        <f>' № 7  рп, кцср, квр'!E218</f>
        <v>959</v>
      </c>
      <c r="E358" s="37">
        <f>' № 7  рп, кцср, квр'!F218</f>
        <v>955.6</v>
      </c>
    </row>
    <row r="359" spans="1:5" ht="31.5">
      <c r="A359" s="178">
        <v>2420200000</v>
      </c>
      <c r="B359" s="179"/>
      <c r="C359" s="180" t="s">
        <v>375</v>
      </c>
      <c r="D359" s="37">
        <f t="shared" ref="D359:E361" si="60">D360</f>
        <v>390</v>
      </c>
      <c r="E359" s="37">
        <f t="shared" si="60"/>
        <v>0</v>
      </c>
    </row>
    <row r="360" spans="1:5" ht="31.5">
      <c r="A360" s="178">
        <v>2420220130</v>
      </c>
      <c r="B360" s="179"/>
      <c r="C360" s="180" t="s">
        <v>376</v>
      </c>
      <c r="D360" s="37">
        <f t="shared" si="60"/>
        <v>390</v>
      </c>
      <c r="E360" s="37">
        <f t="shared" si="60"/>
        <v>0</v>
      </c>
    </row>
    <row r="361" spans="1:5" ht="31.5">
      <c r="A361" s="178">
        <v>2420220130</v>
      </c>
      <c r="B361" s="178" t="s">
        <v>67</v>
      </c>
      <c r="C361" s="180" t="s">
        <v>90</v>
      </c>
      <c r="D361" s="37">
        <f t="shared" si="60"/>
        <v>390</v>
      </c>
      <c r="E361" s="37">
        <f t="shared" si="60"/>
        <v>0</v>
      </c>
    </row>
    <row r="362" spans="1:5" ht="31.5">
      <c r="A362" s="178">
        <v>2420220130</v>
      </c>
      <c r="B362" s="179">
        <v>240</v>
      </c>
      <c r="C362" s="180" t="s">
        <v>216</v>
      </c>
      <c r="D362" s="37">
        <f>' № 7  рп, кцср, квр'!E222</f>
        <v>390</v>
      </c>
      <c r="E362" s="37">
        <f>' № 7  рп, кцср, квр'!F222</f>
        <v>0</v>
      </c>
    </row>
    <row r="363" spans="1:5" ht="47.25">
      <c r="A363" s="98" t="s">
        <v>291</v>
      </c>
      <c r="B363" s="98"/>
      <c r="C363" s="133" t="s">
        <v>334</v>
      </c>
      <c r="D363" s="37">
        <f>D364+D367</f>
        <v>2618.5</v>
      </c>
      <c r="E363" s="37">
        <f>E364+E367</f>
        <v>2573.5</v>
      </c>
    </row>
    <row r="364" spans="1:5" ht="47.25">
      <c r="A364" s="98" t="s">
        <v>292</v>
      </c>
      <c r="B364" s="98"/>
      <c r="C364" s="99" t="s">
        <v>234</v>
      </c>
      <c r="D364" s="37">
        <f t="shared" ref="D364:E365" si="61">D365</f>
        <v>2316.1999999999998</v>
      </c>
      <c r="E364" s="37">
        <f t="shared" si="61"/>
        <v>2316.1</v>
      </c>
    </row>
    <row r="365" spans="1:5" ht="31.5">
      <c r="A365" s="98" t="s">
        <v>292</v>
      </c>
      <c r="B365" s="100" t="s">
        <v>67</v>
      </c>
      <c r="C365" s="99" t="s">
        <v>90</v>
      </c>
      <c r="D365" s="37">
        <f t="shared" si="61"/>
        <v>2316.1999999999998</v>
      </c>
      <c r="E365" s="37">
        <f t="shared" si="61"/>
        <v>2316.1</v>
      </c>
    </row>
    <row r="366" spans="1:5" ht="31.5">
      <c r="A366" s="98" t="s">
        <v>292</v>
      </c>
      <c r="B366" s="98">
        <v>240</v>
      </c>
      <c r="C366" s="99" t="s">
        <v>216</v>
      </c>
      <c r="D366" s="37">
        <f>' № 7  рп, кцср, квр'!E226</f>
        <v>2316.1999999999998</v>
      </c>
      <c r="E366" s="37">
        <f>' № 7  рп, кцср, квр'!F226</f>
        <v>2316.1</v>
      </c>
    </row>
    <row r="367" spans="1:5" ht="47.25">
      <c r="A367" s="98" t="s">
        <v>293</v>
      </c>
      <c r="B367" s="98"/>
      <c r="C367" s="99" t="s">
        <v>225</v>
      </c>
      <c r="D367" s="37">
        <f t="shared" ref="D367:E368" si="62">D368</f>
        <v>302.3</v>
      </c>
      <c r="E367" s="37">
        <f t="shared" si="62"/>
        <v>257.39999999999998</v>
      </c>
    </row>
    <row r="368" spans="1:5" ht="31.5">
      <c r="A368" s="98" t="s">
        <v>293</v>
      </c>
      <c r="B368" s="100" t="s">
        <v>67</v>
      </c>
      <c r="C368" s="99" t="s">
        <v>90</v>
      </c>
      <c r="D368" s="37">
        <f t="shared" si="62"/>
        <v>302.3</v>
      </c>
      <c r="E368" s="37">
        <f t="shared" si="62"/>
        <v>257.39999999999998</v>
      </c>
    </row>
    <row r="369" spans="1:5" ht="31.5">
      <c r="A369" s="98" t="s">
        <v>293</v>
      </c>
      <c r="B369" s="98">
        <v>240</v>
      </c>
      <c r="C369" s="99" t="s">
        <v>216</v>
      </c>
      <c r="D369" s="37">
        <f>' № 7  рп, кцср, квр'!E229</f>
        <v>302.3</v>
      </c>
      <c r="E369" s="37">
        <f>' № 7  рп, кцср, квр'!F229</f>
        <v>257.39999999999998</v>
      </c>
    </row>
    <row r="370" spans="1:5">
      <c r="A370" s="100">
        <v>2430000000</v>
      </c>
      <c r="B370" s="98"/>
      <c r="C370" s="8" t="s">
        <v>332</v>
      </c>
      <c r="D370" s="37">
        <f>D371</f>
        <v>150828.5</v>
      </c>
      <c r="E370" s="37">
        <f>E371</f>
        <v>24101</v>
      </c>
    </row>
    <row r="371" spans="1:5" ht="31.5">
      <c r="A371" s="98">
        <v>2430100000</v>
      </c>
      <c r="B371" s="98"/>
      <c r="C371" s="8" t="s">
        <v>333</v>
      </c>
      <c r="D371" s="37">
        <f>D375+D378+D372</f>
        <v>150828.5</v>
      </c>
      <c r="E371" s="37">
        <f>E375+E378+E372</f>
        <v>24101</v>
      </c>
    </row>
    <row r="372" spans="1:5" ht="31.5">
      <c r="A372" s="167">
        <v>2430110110</v>
      </c>
      <c r="B372" s="167"/>
      <c r="C372" s="42" t="s">
        <v>355</v>
      </c>
      <c r="D372" s="37">
        <f>D373</f>
        <v>114167.6</v>
      </c>
      <c r="E372" s="37">
        <f>E373</f>
        <v>16508.7</v>
      </c>
    </row>
    <row r="373" spans="1:5" ht="31.5">
      <c r="A373" s="167">
        <v>2430110110</v>
      </c>
      <c r="B373" s="166" t="s">
        <v>70</v>
      </c>
      <c r="C373" s="56" t="s">
        <v>91</v>
      </c>
      <c r="D373" s="37">
        <f>D374</f>
        <v>114167.6</v>
      </c>
      <c r="E373" s="37">
        <f>E374</f>
        <v>16508.7</v>
      </c>
    </row>
    <row r="374" spans="1:5">
      <c r="A374" s="167">
        <v>2430110110</v>
      </c>
      <c r="B374" s="166" t="s">
        <v>114</v>
      </c>
      <c r="C374" s="56" t="s">
        <v>115</v>
      </c>
      <c r="D374" s="37">
        <f>' № 7  рп, кцср, квр'!E256</f>
        <v>114167.6</v>
      </c>
      <c r="E374" s="37">
        <f>' № 7  рп, кцср, квр'!F256</f>
        <v>16508.7</v>
      </c>
    </row>
    <row r="375" spans="1:5">
      <c r="A375" s="134">
        <v>2430120100</v>
      </c>
      <c r="B375" s="134"/>
      <c r="C375" s="42" t="s">
        <v>286</v>
      </c>
      <c r="D375" s="37">
        <f>D376</f>
        <v>8119</v>
      </c>
      <c r="E375" s="37">
        <f>E376</f>
        <v>3465.2</v>
      </c>
    </row>
    <row r="376" spans="1:5" ht="31.5">
      <c r="A376" s="121">
        <v>2430120100</v>
      </c>
      <c r="B376" s="100" t="s">
        <v>70</v>
      </c>
      <c r="C376" s="56" t="s">
        <v>91</v>
      </c>
      <c r="D376" s="37">
        <f>D377</f>
        <v>8119</v>
      </c>
      <c r="E376" s="37">
        <f>E377</f>
        <v>3465.2</v>
      </c>
    </row>
    <row r="377" spans="1:5">
      <c r="A377" s="121">
        <v>2430120100</v>
      </c>
      <c r="B377" s="100" t="s">
        <v>114</v>
      </c>
      <c r="C377" s="56" t="s">
        <v>115</v>
      </c>
      <c r="D377" s="37">
        <f>' № 7  рп, кцср, квр'!E259</f>
        <v>8119</v>
      </c>
      <c r="E377" s="37">
        <f>' № 7  рп, кцср, квр'!F259</f>
        <v>3465.2</v>
      </c>
    </row>
    <row r="378" spans="1:5" ht="31.5">
      <c r="A378" s="98" t="s">
        <v>294</v>
      </c>
      <c r="B378" s="98"/>
      <c r="C378" s="42" t="s">
        <v>274</v>
      </c>
      <c r="D378" s="37">
        <f t="shared" ref="D378:E379" si="63">D379</f>
        <v>28541.9</v>
      </c>
      <c r="E378" s="37">
        <f t="shared" si="63"/>
        <v>4127.1000000000004</v>
      </c>
    </row>
    <row r="379" spans="1:5" ht="31.5">
      <c r="A379" s="98" t="s">
        <v>294</v>
      </c>
      <c r="B379" s="100" t="s">
        <v>70</v>
      </c>
      <c r="C379" s="56" t="s">
        <v>91</v>
      </c>
      <c r="D379" s="37">
        <f t="shared" si="63"/>
        <v>28541.9</v>
      </c>
      <c r="E379" s="37">
        <f t="shared" si="63"/>
        <v>4127.1000000000004</v>
      </c>
    </row>
    <row r="380" spans="1:5">
      <c r="A380" s="98" t="s">
        <v>294</v>
      </c>
      <c r="B380" s="100" t="s">
        <v>114</v>
      </c>
      <c r="C380" s="56" t="s">
        <v>115</v>
      </c>
      <c r="D380" s="37">
        <f>' № 7  рп, кцср, квр'!E262</f>
        <v>28541.9</v>
      </c>
      <c r="E380" s="37">
        <f>' № 7  рп, кцср, квр'!F262</f>
        <v>4127.1000000000004</v>
      </c>
    </row>
    <row r="381" spans="1:5" ht="31.5">
      <c r="A381" s="28">
        <v>2500000000</v>
      </c>
      <c r="B381" s="16"/>
      <c r="C381" s="45" t="s">
        <v>312</v>
      </c>
      <c r="D381" s="36">
        <f>D382+D395</f>
        <v>29345.5</v>
      </c>
      <c r="E381" s="36">
        <f>E382+E395</f>
        <v>27635.899999999998</v>
      </c>
    </row>
    <row r="382" spans="1:5">
      <c r="A382" s="98">
        <v>2510000000</v>
      </c>
      <c r="B382" s="98"/>
      <c r="C382" s="410" t="s">
        <v>146</v>
      </c>
      <c r="D382" s="39">
        <f>D383+D387+D391</f>
        <v>9136.0999999999985</v>
      </c>
      <c r="E382" s="39">
        <f>E383+E387+E391</f>
        <v>9136</v>
      </c>
    </row>
    <row r="383" spans="1:5" ht="47.25">
      <c r="A383" s="98">
        <v>2510100000</v>
      </c>
      <c r="B383" s="98"/>
      <c r="C383" s="410" t="s">
        <v>170</v>
      </c>
      <c r="D383" s="37">
        <f t="shared" ref="D383:E385" si="64">D384</f>
        <v>8975.5999999999985</v>
      </c>
      <c r="E383" s="37">
        <f t="shared" si="64"/>
        <v>8975.6</v>
      </c>
    </row>
    <row r="384" spans="1:5" ht="31.5">
      <c r="A384" s="98">
        <v>2510120010</v>
      </c>
      <c r="B384" s="98"/>
      <c r="C384" s="99" t="s">
        <v>118</v>
      </c>
      <c r="D384" s="37">
        <f t="shared" si="64"/>
        <v>8975.5999999999985</v>
      </c>
      <c r="E384" s="37">
        <f t="shared" si="64"/>
        <v>8975.6</v>
      </c>
    </row>
    <row r="385" spans="1:5" ht="31.5">
      <c r="A385" s="98">
        <v>2510120010</v>
      </c>
      <c r="B385" s="98">
        <v>600</v>
      </c>
      <c r="C385" s="99" t="s">
        <v>81</v>
      </c>
      <c r="D385" s="37">
        <f t="shared" si="64"/>
        <v>8975.5999999999985</v>
      </c>
      <c r="E385" s="37">
        <f t="shared" si="64"/>
        <v>8975.6</v>
      </c>
    </row>
    <row r="386" spans="1:5">
      <c r="A386" s="98">
        <v>2510120010</v>
      </c>
      <c r="B386" s="98">
        <v>610</v>
      </c>
      <c r="C386" s="99" t="s">
        <v>99</v>
      </c>
      <c r="D386" s="37">
        <f>' № 7  рп, кцср, квр'!E176</f>
        <v>8975.5999999999985</v>
      </c>
      <c r="E386" s="37">
        <f>' № 7  рп, кцср, квр'!F176</f>
        <v>8975.6</v>
      </c>
    </row>
    <row r="387" spans="1:5" ht="47.25">
      <c r="A387" s="98">
        <v>2510200000</v>
      </c>
      <c r="B387" s="98"/>
      <c r="C387" s="99" t="s">
        <v>168</v>
      </c>
      <c r="D387" s="37">
        <f t="shared" ref="D387:E389" si="65">D388</f>
        <v>110.5</v>
      </c>
      <c r="E387" s="37">
        <f t="shared" si="65"/>
        <v>110.4</v>
      </c>
    </row>
    <row r="388" spans="1:5" ht="31.5">
      <c r="A388" s="98">
        <v>2510220170</v>
      </c>
      <c r="B388" s="98"/>
      <c r="C388" s="99" t="s">
        <v>169</v>
      </c>
      <c r="D388" s="37">
        <f t="shared" si="65"/>
        <v>110.5</v>
      </c>
      <c r="E388" s="37">
        <f t="shared" si="65"/>
        <v>110.4</v>
      </c>
    </row>
    <row r="389" spans="1:5" ht="63">
      <c r="A389" s="98">
        <v>2510220170</v>
      </c>
      <c r="B389" s="98" t="s">
        <v>66</v>
      </c>
      <c r="C389" s="99" t="s">
        <v>1</v>
      </c>
      <c r="D389" s="37">
        <f t="shared" si="65"/>
        <v>110.5</v>
      </c>
      <c r="E389" s="37">
        <f t="shared" si="65"/>
        <v>110.4</v>
      </c>
    </row>
    <row r="390" spans="1:5" ht="31.5">
      <c r="A390" s="98">
        <v>2510220170</v>
      </c>
      <c r="B390" s="98">
        <v>120</v>
      </c>
      <c r="C390" s="99" t="s">
        <v>217</v>
      </c>
      <c r="D390" s="37">
        <f>'№ 6 ведом'!F62</f>
        <v>110.5</v>
      </c>
      <c r="E390" s="37">
        <f>'№ 6 ведом'!G62</f>
        <v>110.4</v>
      </c>
    </row>
    <row r="391" spans="1:5" ht="31.5">
      <c r="A391" s="202">
        <v>2510400000</v>
      </c>
      <c r="B391" s="202"/>
      <c r="C391" s="410" t="s">
        <v>392</v>
      </c>
      <c r="D391" s="37">
        <f t="shared" ref="D391:E393" si="66">D392</f>
        <v>50</v>
      </c>
      <c r="E391" s="37">
        <f t="shared" si="66"/>
        <v>50</v>
      </c>
    </row>
    <row r="392" spans="1:5">
      <c r="A392" s="202">
        <v>2510420300</v>
      </c>
      <c r="B392" s="202"/>
      <c r="C392" s="203" t="s">
        <v>393</v>
      </c>
      <c r="D392" s="37">
        <f t="shared" si="66"/>
        <v>50</v>
      </c>
      <c r="E392" s="37">
        <f t="shared" si="66"/>
        <v>50</v>
      </c>
    </row>
    <row r="393" spans="1:5" ht="31.5">
      <c r="A393" s="202">
        <v>2510420300</v>
      </c>
      <c r="B393" s="201" t="s">
        <v>67</v>
      </c>
      <c r="C393" s="203" t="s">
        <v>90</v>
      </c>
      <c r="D393" s="37">
        <f t="shared" si="66"/>
        <v>50</v>
      </c>
      <c r="E393" s="37">
        <f t="shared" si="66"/>
        <v>50</v>
      </c>
    </row>
    <row r="394" spans="1:5" ht="31.5">
      <c r="A394" s="202">
        <v>2510420300</v>
      </c>
      <c r="B394" s="202">
        <v>240</v>
      </c>
      <c r="C394" s="203" t="s">
        <v>216</v>
      </c>
      <c r="D394" s="37">
        <f>' № 7  рп, кцср, квр'!E179</f>
        <v>50</v>
      </c>
      <c r="E394" s="37">
        <f>' № 7  рп, кцср, квр'!F179</f>
        <v>50</v>
      </c>
    </row>
    <row r="395" spans="1:5" ht="25.5" customHeight="1">
      <c r="A395" s="100">
        <v>2520000000</v>
      </c>
      <c r="B395" s="98"/>
      <c r="C395" s="56" t="s">
        <v>241</v>
      </c>
      <c r="D395" s="37">
        <f>D400+D410+D416+D424+D396</f>
        <v>20209.400000000001</v>
      </c>
      <c r="E395" s="37">
        <f>E400+E410+E416+E424+E396</f>
        <v>18499.899999999998</v>
      </c>
    </row>
    <row r="396" spans="1:5" ht="63">
      <c r="A396" s="167">
        <v>2520100000</v>
      </c>
      <c r="B396" s="167"/>
      <c r="C396" s="56" t="s">
        <v>366</v>
      </c>
      <c r="D396" s="37">
        <f t="shared" ref="D396:E398" si="67">D397</f>
        <v>2769.2000000000003</v>
      </c>
      <c r="E396" s="37">
        <f t="shared" si="67"/>
        <v>2725.6</v>
      </c>
    </row>
    <row r="397" spans="1:5" ht="31.5">
      <c r="A397" s="10" t="s">
        <v>367</v>
      </c>
      <c r="B397" s="167"/>
      <c r="C397" s="56" t="s">
        <v>368</v>
      </c>
      <c r="D397" s="37">
        <f t="shared" si="67"/>
        <v>2769.2000000000003</v>
      </c>
      <c r="E397" s="37">
        <f t="shared" si="67"/>
        <v>2725.6</v>
      </c>
    </row>
    <row r="398" spans="1:5" ht="31.5">
      <c r="A398" s="10" t="s">
        <v>367</v>
      </c>
      <c r="B398" s="166" t="s">
        <v>92</v>
      </c>
      <c r="C398" s="56" t="s">
        <v>93</v>
      </c>
      <c r="D398" s="37">
        <f t="shared" si="67"/>
        <v>2769.2000000000003</v>
      </c>
      <c r="E398" s="37">
        <f t="shared" si="67"/>
        <v>2725.6</v>
      </c>
    </row>
    <row r="399" spans="1:5">
      <c r="A399" s="10" t="s">
        <v>367</v>
      </c>
      <c r="B399" s="167">
        <v>610</v>
      </c>
      <c r="C399" s="56" t="s">
        <v>99</v>
      </c>
      <c r="D399" s="37">
        <f>' № 7  рп, кцср, квр'!E375+' № 7  рп, кцср, квр'!E651+' № 7  рп, кцср, квр'!E476</f>
        <v>2769.2000000000003</v>
      </c>
      <c r="E399" s="37">
        <f>' № 7  рп, кцср, квр'!F375+' № 7  рп, кцср, квр'!F651+' № 7  рп, кцср, квр'!F476</f>
        <v>2725.6</v>
      </c>
    </row>
    <row r="400" spans="1:5" ht="47.25">
      <c r="A400" s="100">
        <v>2520200000</v>
      </c>
      <c r="B400" s="98"/>
      <c r="C400" s="270" t="s">
        <v>287</v>
      </c>
      <c r="D400" s="37">
        <f>D407+D404+D401</f>
        <v>3690.4</v>
      </c>
      <c r="E400" s="37">
        <f>E407+E404+E401</f>
        <v>3664.2</v>
      </c>
    </row>
    <row r="401" spans="1:5" ht="38.25" customHeight="1">
      <c r="A401" s="150">
        <v>2520211040</v>
      </c>
      <c r="B401" s="151"/>
      <c r="C401" s="94" t="s">
        <v>352</v>
      </c>
      <c r="D401" s="37">
        <f>D402</f>
        <v>1226.5</v>
      </c>
      <c r="E401" s="37">
        <f>E402</f>
        <v>1226.5</v>
      </c>
    </row>
    <row r="402" spans="1:5" ht="31.5">
      <c r="A402" s="150">
        <v>2520211040</v>
      </c>
      <c r="B402" s="95">
        <v>600</v>
      </c>
      <c r="C402" s="94" t="s">
        <v>93</v>
      </c>
      <c r="D402" s="37">
        <f>D403</f>
        <v>1226.5</v>
      </c>
      <c r="E402" s="37">
        <f>E403</f>
        <v>1226.5</v>
      </c>
    </row>
    <row r="403" spans="1:5">
      <c r="A403" s="150">
        <v>2520211040</v>
      </c>
      <c r="B403" s="93">
        <v>610</v>
      </c>
      <c r="C403" s="94" t="s">
        <v>99</v>
      </c>
      <c r="D403" s="37">
        <f>' № 7  рп, кцср, квр'!E379</f>
        <v>1226.5</v>
      </c>
      <c r="E403" s="37">
        <f>' № 7  рп, кцср, квр'!F379</f>
        <v>1226.5</v>
      </c>
    </row>
    <row r="404" spans="1:5">
      <c r="A404" s="122">
        <v>2520220190</v>
      </c>
      <c r="B404" s="122"/>
      <c r="C404" s="124" t="s">
        <v>324</v>
      </c>
      <c r="D404" s="37">
        <f t="shared" ref="D404:E405" si="68">D405</f>
        <v>1211.2</v>
      </c>
      <c r="E404" s="37">
        <f t="shared" si="68"/>
        <v>1211.2</v>
      </c>
    </row>
    <row r="405" spans="1:5" ht="31.5">
      <c r="A405" s="122">
        <v>2520220190</v>
      </c>
      <c r="B405" s="122" t="s">
        <v>92</v>
      </c>
      <c r="C405" s="124" t="s">
        <v>93</v>
      </c>
      <c r="D405" s="37">
        <f t="shared" si="68"/>
        <v>1211.2</v>
      </c>
      <c r="E405" s="37">
        <f t="shared" si="68"/>
        <v>1211.2</v>
      </c>
    </row>
    <row r="406" spans="1:5">
      <c r="A406" s="122">
        <v>2520220190</v>
      </c>
      <c r="B406" s="122">
        <v>610</v>
      </c>
      <c r="C406" s="124" t="s">
        <v>99</v>
      </c>
      <c r="D406" s="37">
        <f>' № 7  рп, кцср, квр'!E382+' № 7  рп, кцср, квр'!E480</f>
        <v>1211.2</v>
      </c>
      <c r="E406" s="37">
        <f>' № 7  рп, кцср, квр'!F382+' № 7  рп, кцср, квр'!F480</f>
        <v>1211.2</v>
      </c>
    </row>
    <row r="407" spans="1:5" ht="41.25" customHeight="1">
      <c r="A407" s="100" t="s">
        <v>308</v>
      </c>
      <c r="B407" s="98"/>
      <c r="C407" s="94" t="s">
        <v>248</v>
      </c>
      <c r="D407" s="37">
        <f>D408</f>
        <v>1252.7</v>
      </c>
      <c r="E407" s="37">
        <f>E408</f>
        <v>1226.5</v>
      </c>
    </row>
    <row r="408" spans="1:5" ht="31.5">
      <c r="A408" s="100" t="s">
        <v>308</v>
      </c>
      <c r="B408" s="95">
        <v>600</v>
      </c>
      <c r="C408" s="94" t="s">
        <v>93</v>
      </c>
      <c r="D408" s="37">
        <f>D409</f>
        <v>1252.7</v>
      </c>
      <c r="E408" s="37">
        <f>E409</f>
        <v>1226.5</v>
      </c>
    </row>
    <row r="409" spans="1:5">
      <c r="A409" s="135" t="s">
        <v>308</v>
      </c>
      <c r="B409" s="135">
        <v>610</v>
      </c>
      <c r="C409" s="136" t="s">
        <v>99</v>
      </c>
      <c r="D409" s="37">
        <f>' № 7  рп, кцср, квр'!E385</f>
        <v>1252.7</v>
      </c>
      <c r="E409" s="37">
        <f>' № 7  рп, кцср, квр'!F385</f>
        <v>1226.5</v>
      </c>
    </row>
    <row r="410" spans="1:5" ht="31.5">
      <c r="A410" s="122">
        <v>2520400000</v>
      </c>
      <c r="B410" s="123"/>
      <c r="C410" s="56" t="s">
        <v>330</v>
      </c>
      <c r="D410" s="37">
        <f>D411</f>
        <v>3476.3</v>
      </c>
      <c r="E410" s="37">
        <f>E411</f>
        <v>2979.4</v>
      </c>
    </row>
    <row r="411" spans="1:5">
      <c r="A411" s="122">
        <v>2520420300</v>
      </c>
      <c r="B411" s="123"/>
      <c r="C411" s="56" t="s">
        <v>331</v>
      </c>
      <c r="D411" s="37">
        <f>D414+D412</f>
        <v>3476.3</v>
      </c>
      <c r="E411" s="37">
        <f>E414+E412</f>
        <v>2979.4</v>
      </c>
    </row>
    <row r="412" spans="1:5" ht="31.5">
      <c r="A412" s="137">
        <v>2520420300</v>
      </c>
      <c r="B412" s="137" t="s">
        <v>67</v>
      </c>
      <c r="C412" s="139" t="s">
        <v>90</v>
      </c>
      <c r="D412" s="37">
        <f>D413</f>
        <v>82.5</v>
      </c>
      <c r="E412" s="37">
        <f>E413</f>
        <v>73.900000000000006</v>
      </c>
    </row>
    <row r="413" spans="1:5" ht="31.5">
      <c r="A413" s="137">
        <v>2520420300</v>
      </c>
      <c r="B413" s="138">
        <v>240</v>
      </c>
      <c r="C413" s="139" t="s">
        <v>216</v>
      </c>
      <c r="D413" s="37">
        <f>' № 7  рп, кцср, квр'!E96</f>
        <v>82.5</v>
      </c>
      <c r="E413" s="37">
        <f>' № 7  рп, кцср, квр'!F96</f>
        <v>73.900000000000006</v>
      </c>
    </row>
    <row r="414" spans="1:5" ht="31.5">
      <c r="A414" s="122">
        <v>2520420300</v>
      </c>
      <c r="B414" s="122" t="s">
        <v>92</v>
      </c>
      <c r="C414" s="56" t="s">
        <v>93</v>
      </c>
      <c r="D414" s="37">
        <f>D415</f>
        <v>3393.8</v>
      </c>
      <c r="E414" s="37">
        <f>E415</f>
        <v>2905.5</v>
      </c>
    </row>
    <row r="415" spans="1:5">
      <c r="A415" s="122">
        <v>2520420300</v>
      </c>
      <c r="B415" s="123">
        <v>610</v>
      </c>
      <c r="C415" s="56" t="s">
        <v>99</v>
      </c>
      <c r="D415" s="37">
        <f>' № 7  рп, кцср, квр'!E529+' № 7  рп, кцср, квр'!E655+' № 7  рп, кцср, квр'!E751+' № 7  рп, кцср, квр'!E785+' № 7  рп, кцср, квр'!E389+' № 7  рп, кцср, квр'!E484</f>
        <v>3393.8</v>
      </c>
      <c r="E415" s="37">
        <f>' № 7  рп, кцср, квр'!F529+' № 7  рп, кцср, квр'!F655+' № 7  рп, кцср, квр'!F751+' № 7  рп, кцср, квр'!F785+' № 7  рп, кцср, квр'!F389+' № 7  рп, кцср, квр'!F484</f>
        <v>2905.5</v>
      </c>
    </row>
    <row r="416" spans="1:5" ht="31.5">
      <c r="A416" s="150">
        <v>2520500000</v>
      </c>
      <c r="B416" s="151"/>
      <c r="C416" s="152" t="s">
        <v>341</v>
      </c>
      <c r="D416" s="37">
        <f>D417</f>
        <v>3445.6</v>
      </c>
      <c r="E416" s="37">
        <f>E417</f>
        <v>2824.6000000000008</v>
      </c>
    </row>
    <row r="417" spans="1:5">
      <c r="A417" s="150">
        <v>2520520300</v>
      </c>
      <c r="B417" s="151"/>
      <c r="C417" s="152" t="s">
        <v>342</v>
      </c>
      <c r="D417" s="37">
        <f>D420+D422+D418</f>
        <v>3445.6</v>
      </c>
      <c r="E417" s="37">
        <f>E420+E422+E418</f>
        <v>2824.6000000000008</v>
      </c>
    </row>
    <row r="418" spans="1:5" ht="63">
      <c r="A418" s="208">
        <v>2520520300</v>
      </c>
      <c r="B418" s="209" t="s">
        <v>66</v>
      </c>
      <c r="C418" s="210" t="s">
        <v>1</v>
      </c>
      <c r="D418" s="37">
        <f>D419</f>
        <v>6.4</v>
      </c>
      <c r="E418" s="37">
        <f>E419</f>
        <v>6.4</v>
      </c>
    </row>
    <row r="419" spans="1:5">
      <c r="A419" s="208">
        <v>2520520300</v>
      </c>
      <c r="B419" s="209">
        <v>110</v>
      </c>
      <c r="C419" s="47" t="s">
        <v>153</v>
      </c>
      <c r="D419" s="37">
        <f>' № 7  рп, кцср, квр'!E100</f>
        <v>6.4</v>
      </c>
      <c r="E419" s="37">
        <f>' № 7  рп, кцср, квр'!F100</f>
        <v>6.4</v>
      </c>
    </row>
    <row r="420" spans="1:5" ht="31.5">
      <c r="A420" s="150">
        <v>2520520300</v>
      </c>
      <c r="B420" s="150" t="s">
        <v>67</v>
      </c>
      <c r="C420" s="152" t="s">
        <v>90</v>
      </c>
      <c r="D420" s="37">
        <f>D421</f>
        <v>167.4</v>
      </c>
      <c r="E420" s="37">
        <f>E421</f>
        <v>129.30000000000001</v>
      </c>
    </row>
    <row r="421" spans="1:5" ht="31.5">
      <c r="A421" s="150">
        <v>2520520300</v>
      </c>
      <c r="B421" s="151">
        <v>240</v>
      </c>
      <c r="C421" s="152" t="s">
        <v>216</v>
      </c>
      <c r="D421" s="37">
        <f>' № 7  рп, кцср, квр'!E102</f>
        <v>167.4</v>
      </c>
      <c r="E421" s="37">
        <f>' № 7  рп, кцср, квр'!F102</f>
        <v>129.30000000000001</v>
      </c>
    </row>
    <row r="422" spans="1:5" ht="31.5">
      <c r="A422" s="150">
        <v>2520520300</v>
      </c>
      <c r="B422" s="150" t="s">
        <v>92</v>
      </c>
      <c r="C422" s="56" t="s">
        <v>93</v>
      </c>
      <c r="D422" s="37">
        <f>D423</f>
        <v>3271.7999999999997</v>
      </c>
      <c r="E422" s="37">
        <f>E423</f>
        <v>2688.9000000000005</v>
      </c>
    </row>
    <row r="423" spans="1:5">
      <c r="A423" s="150">
        <v>2520520300</v>
      </c>
      <c r="B423" s="151">
        <v>610</v>
      </c>
      <c r="C423" s="56" t="s">
        <v>99</v>
      </c>
      <c r="D423" s="37">
        <f>' № 7  рп, кцср, квр'!E182+' № 7  рп, кцср, квр'!E391+' № 7  рп, кцср, квр'!E485+' № 7  рп, кцср, квр'!E531+' № 7  рп, кцср, квр'!E656+' № 7  рп, кцср, квр'!E753+' № 7  рп, кцср, квр'!E787</f>
        <v>3271.7999999999997</v>
      </c>
      <c r="E423" s="37">
        <f>' № 7  рп, кцср, квр'!F182+' № 7  рп, кцср, квр'!F391+' № 7  рп, кцср, квр'!F485+' № 7  рп, кцср, квр'!F531+' № 7  рп, кцср, квр'!F656+' № 7  рп, кцср, квр'!F753+' № 7  рп, кцср, квр'!F787</f>
        <v>2688.9000000000005</v>
      </c>
    </row>
    <row r="424" spans="1:5" ht="31.5">
      <c r="A424" s="150">
        <v>2520600000</v>
      </c>
      <c r="B424" s="151"/>
      <c r="C424" s="152" t="s">
        <v>340</v>
      </c>
      <c r="D424" s="37">
        <f>D425</f>
        <v>6827.9</v>
      </c>
      <c r="E424" s="37">
        <f>E425</f>
        <v>6306.0999999999995</v>
      </c>
    </row>
    <row r="425" spans="1:5">
      <c r="A425" s="150">
        <v>2520620200</v>
      </c>
      <c r="B425" s="151"/>
      <c r="C425" s="152" t="s">
        <v>275</v>
      </c>
      <c r="D425" s="37">
        <f>D426+D428</f>
        <v>6827.9</v>
      </c>
      <c r="E425" s="37">
        <f>E426+E428</f>
        <v>6306.0999999999995</v>
      </c>
    </row>
    <row r="426" spans="1:5" ht="31.5">
      <c r="A426" s="150">
        <v>2520620200</v>
      </c>
      <c r="B426" s="150" t="s">
        <v>67</v>
      </c>
      <c r="C426" s="152" t="s">
        <v>90</v>
      </c>
      <c r="D426" s="37">
        <f>D427</f>
        <v>1110</v>
      </c>
      <c r="E426" s="37">
        <f>E427</f>
        <v>964.7</v>
      </c>
    </row>
    <row r="427" spans="1:5" ht="31.5">
      <c r="A427" s="150">
        <v>2520620200</v>
      </c>
      <c r="B427" s="151">
        <v>240</v>
      </c>
      <c r="C427" s="152" t="s">
        <v>216</v>
      </c>
      <c r="D427" s="37">
        <f>' № 7  рп, кцср, квр'!E106</f>
        <v>1110</v>
      </c>
      <c r="E427" s="37">
        <f>' № 7  рп, кцср, квр'!F106</f>
        <v>964.7</v>
      </c>
    </row>
    <row r="428" spans="1:5" ht="31.5">
      <c r="A428" s="150">
        <v>2520620200</v>
      </c>
      <c r="B428" s="150" t="s">
        <v>92</v>
      </c>
      <c r="C428" s="56" t="s">
        <v>93</v>
      </c>
      <c r="D428" s="37">
        <f>D429</f>
        <v>5717.9</v>
      </c>
      <c r="E428" s="37">
        <f>E429</f>
        <v>5341.4</v>
      </c>
    </row>
    <row r="429" spans="1:5">
      <c r="A429" s="150">
        <v>2520620200</v>
      </c>
      <c r="B429" s="151">
        <v>610</v>
      </c>
      <c r="C429" s="56" t="s">
        <v>99</v>
      </c>
      <c r="D429" s="37">
        <f>' № 7  рп, кцср, квр'!E663+' № 7  рп, кцср, квр'!E537+' № 7  рп, кцср, квр'!E759+' № 7  рп, кцср, квр'!E793+' № 7  рп, кцср, квр'!E397+' № 7  рп, кцср, квр'!E492</f>
        <v>5717.9</v>
      </c>
      <c r="E429" s="37">
        <f>' № 7  рп, кцср, квр'!F663+' № 7  рп, кцср, квр'!F537+' № 7  рп, кцср, квр'!F759+' № 7  рп, кцср, квр'!F793+' № 7  рп, кцср, квр'!F397+' № 7  рп, кцср, квр'!F492</f>
        <v>5341.4</v>
      </c>
    </row>
    <row r="430" spans="1:5" ht="47.25">
      <c r="A430" s="28">
        <v>2600000000</v>
      </c>
      <c r="B430" s="100"/>
      <c r="C430" s="45" t="s">
        <v>316</v>
      </c>
      <c r="D430" s="36">
        <f>D431+D459+D471+D480</f>
        <v>27099.100000000002</v>
      </c>
      <c r="E430" s="36">
        <f>E431+E459+E471+E480</f>
        <v>24052.9</v>
      </c>
    </row>
    <row r="431" spans="1:5" ht="31.5">
      <c r="A431" s="122">
        <v>2610000000</v>
      </c>
      <c r="B431" s="122"/>
      <c r="C431" s="124" t="s">
        <v>102</v>
      </c>
      <c r="D431" s="37">
        <f>D432+D445+D455</f>
        <v>23447</v>
      </c>
      <c r="E431" s="37">
        <f>E432+E445+E455</f>
        <v>20923.2</v>
      </c>
    </row>
    <row r="432" spans="1:5">
      <c r="A432" s="122">
        <v>2610100000</v>
      </c>
      <c r="B432" s="122"/>
      <c r="C432" s="124" t="s">
        <v>103</v>
      </c>
      <c r="D432" s="37">
        <f>D433+D436+D439+D442</f>
        <v>6704.7999999999993</v>
      </c>
      <c r="E432" s="37">
        <f>E433+E436+E439+E442</f>
        <v>5935</v>
      </c>
    </row>
    <row r="433" spans="1:5">
      <c r="A433" s="122">
        <v>2610120210</v>
      </c>
      <c r="B433" s="18"/>
      <c r="C433" s="124" t="s">
        <v>104</v>
      </c>
      <c r="D433" s="37">
        <f t="shared" ref="D433:E434" si="69">D434</f>
        <v>2987.2</v>
      </c>
      <c r="E433" s="37">
        <f t="shared" si="69"/>
        <v>2646.8</v>
      </c>
    </row>
    <row r="434" spans="1:5" ht="31.5">
      <c r="A434" s="122">
        <v>2610120210</v>
      </c>
      <c r="B434" s="122" t="s">
        <v>67</v>
      </c>
      <c r="C434" s="124" t="s">
        <v>90</v>
      </c>
      <c r="D434" s="37">
        <f t="shared" si="69"/>
        <v>2987.2</v>
      </c>
      <c r="E434" s="37">
        <f t="shared" si="69"/>
        <v>2646.8</v>
      </c>
    </row>
    <row r="435" spans="1:5" ht="31.5">
      <c r="A435" s="122">
        <v>2610120210</v>
      </c>
      <c r="B435" s="123">
        <v>240</v>
      </c>
      <c r="C435" s="124" t="s">
        <v>216</v>
      </c>
      <c r="D435" s="37">
        <f>' № 7  рп, кцср, квр'!E112</f>
        <v>2987.2</v>
      </c>
      <c r="E435" s="37">
        <f>' № 7  рп, кцср, квр'!F112</f>
        <v>2646.8</v>
      </c>
    </row>
    <row r="436" spans="1:5" ht="31.5">
      <c r="A436" s="122">
        <v>2610120220</v>
      </c>
      <c r="B436" s="123"/>
      <c r="C436" s="410" t="s">
        <v>101</v>
      </c>
      <c r="D436" s="37">
        <f t="shared" ref="D436:E437" si="70">D437</f>
        <v>201</v>
      </c>
      <c r="E436" s="37">
        <f t="shared" si="70"/>
        <v>200.4</v>
      </c>
    </row>
    <row r="437" spans="1:5" ht="31.5">
      <c r="A437" s="122">
        <v>2610120220</v>
      </c>
      <c r="B437" s="122" t="s">
        <v>67</v>
      </c>
      <c r="C437" s="124" t="s">
        <v>90</v>
      </c>
      <c r="D437" s="37">
        <f t="shared" si="70"/>
        <v>201</v>
      </c>
      <c r="E437" s="37">
        <f t="shared" si="70"/>
        <v>200.4</v>
      </c>
    </row>
    <row r="438" spans="1:5" ht="31.5">
      <c r="A438" s="122">
        <v>2610120220</v>
      </c>
      <c r="B438" s="123">
        <v>240</v>
      </c>
      <c r="C438" s="124" t="s">
        <v>216</v>
      </c>
      <c r="D438" s="37">
        <f>' № 7  рп, кцср, квр'!E115</f>
        <v>201</v>
      </c>
      <c r="E438" s="37">
        <f>' № 7  рп, кцср, квр'!F115</f>
        <v>200.4</v>
      </c>
    </row>
    <row r="439" spans="1:5" ht="47.25">
      <c r="A439" s="100">
        <v>2610120230</v>
      </c>
      <c r="B439" s="100"/>
      <c r="C439" s="99" t="s">
        <v>108</v>
      </c>
      <c r="D439" s="37">
        <f t="shared" ref="D439:E440" si="71">D440</f>
        <v>3217.6</v>
      </c>
      <c r="E439" s="37">
        <f t="shared" si="71"/>
        <v>3006.8</v>
      </c>
    </row>
    <row r="440" spans="1:5" ht="31.5">
      <c r="A440" s="100">
        <v>2610120230</v>
      </c>
      <c r="B440" s="100" t="s">
        <v>67</v>
      </c>
      <c r="C440" s="99" t="s">
        <v>90</v>
      </c>
      <c r="D440" s="37">
        <f t="shared" si="71"/>
        <v>3217.6</v>
      </c>
      <c r="E440" s="37">
        <f t="shared" si="71"/>
        <v>3006.8</v>
      </c>
    </row>
    <row r="441" spans="1:5" ht="31.5">
      <c r="A441" s="100">
        <v>2610120230</v>
      </c>
      <c r="B441" s="98">
        <v>240</v>
      </c>
      <c r="C441" s="99" t="s">
        <v>216</v>
      </c>
      <c r="D441" s="37">
        <f>' № 7  рп, кцср, квр'!E249</f>
        <v>3217.6</v>
      </c>
      <c r="E441" s="37">
        <f>' № 7  рп, кцср, квр'!F249</f>
        <v>3006.8</v>
      </c>
    </row>
    <row r="442" spans="1:5" ht="31.5">
      <c r="A442" s="122">
        <v>2610120240</v>
      </c>
      <c r="B442" s="122"/>
      <c r="C442" s="410" t="s">
        <v>106</v>
      </c>
      <c r="D442" s="37">
        <f t="shared" ref="D442:E443" si="72">D443</f>
        <v>299</v>
      </c>
      <c r="E442" s="37">
        <f t="shared" si="72"/>
        <v>81</v>
      </c>
    </row>
    <row r="443" spans="1:5" ht="31.5">
      <c r="A443" s="122">
        <v>2610120240</v>
      </c>
      <c r="B443" s="122" t="s">
        <v>67</v>
      </c>
      <c r="C443" s="124" t="s">
        <v>90</v>
      </c>
      <c r="D443" s="37">
        <f t="shared" si="72"/>
        <v>299</v>
      </c>
      <c r="E443" s="37">
        <f t="shared" si="72"/>
        <v>81</v>
      </c>
    </row>
    <row r="444" spans="1:5" ht="31.5">
      <c r="A444" s="122">
        <v>2610120240</v>
      </c>
      <c r="B444" s="123">
        <v>240</v>
      </c>
      <c r="C444" s="124" t="s">
        <v>216</v>
      </c>
      <c r="D444" s="37">
        <f>' № 7  рп, кцср, квр'!E236</f>
        <v>299</v>
      </c>
      <c r="E444" s="37">
        <f>' № 7  рп, кцср, квр'!F236</f>
        <v>81</v>
      </c>
    </row>
    <row r="445" spans="1:5">
      <c r="A445" s="122">
        <v>2610200000</v>
      </c>
      <c r="B445" s="122"/>
      <c r="C445" s="124" t="s">
        <v>107</v>
      </c>
      <c r="D445" s="37">
        <f>D446+D452+D449</f>
        <v>14988.3</v>
      </c>
      <c r="E445" s="37">
        <f>E446+E452+E449</f>
        <v>14988.2</v>
      </c>
    </row>
    <row r="446" spans="1:5" ht="63">
      <c r="A446" s="122">
        <v>2610210820</v>
      </c>
      <c r="B446" s="122"/>
      <c r="C446" s="124" t="s">
        <v>213</v>
      </c>
      <c r="D446" s="37">
        <f t="shared" ref="D446:E447" si="73">D447</f>
        <v>8006</v>
      </c>
      <c r="E446" s="37">
        <f t="shared" si="73"/>
        <v>8005.9</v>
      </c>
    </row>
    <row r="447" spans="1:5" ht="31.5">
      <c r="A447" s="122">
        <v>2610210820</v>
      </c>
      <c r="B447" s="122" t="s">
        <v>70</v>
      </c>
      <c r="C447" s="124" t="s">
        <v>91</v>
      </c>
      <c r="D447" s="37">
        <f t="shared" si="73"/>
        <v>8006</v>
      </c>
      <c r="E447" s="37">
        <f t="shared" si="73"/>
        <v>8005.9</v>
      </c>
    </row>
    <row r="448" spans="1:5">
      <c r="A448" s="122">
        <v>2610210820</v>
      </c>
      <c r="B448" s="122" t="s">
        <v>114</v>
      </c>
      <c r="C448" s="124" t="s">
        <v>115</v>
      </c>
      <c r="D448" s="37">
        <f>' № 7  рп, кцср, квр'!E712</f>
        <v>8006</v>
      </c>
      <c r="E448" s="37">
        <f>' № 7  рп, кцср, квр'!F712</f>
        <v>8005.9</v>
      </c>
    </row>
    <row r="449" spans="1:5" ht="47.25">
      <c r="A449" s="174">
        <v>2610210290</v>
      </c>
      <c r="B449" s="174"/>
      <c r="C449" s="56" t="s">
        <v>371</v>
      </c>
      <c r="D449" s="37">
        <f>D450</f>
        <v>5585.7999999999993</v>
      </c>
      <c r="E449" s="37">
        <f>E450</f>
        <v>5585.8</v>
      </c>
    </row>
    <row r="450" spans="1:5" ht="31.5">
      <c r="A450" s="174">
        <v>2610210290</v>
      </c>
      <c r="B450" s="174" t="s">
        <v>70</v>
      </c>
      <c r="C450" s="56" t="s">
        <v>91</v>
      </c>
      <c r="D450" s="37">
        <f>D451</f>
        <v>5585.7999999999993</v>
      </c>
      <c r="E450" s="37">
        <f>E451</f>
        <v>5585.8</v>
      </c>
    </row>
    <row r="451" spans="1:5">
      <c r="A451" s="174">
        <v>2610210290</v>
      </c>
      <c r="B451" s="174" t="s">
        <v>114</v>
      </c>
      <c r="C451" s="56" t="s">
        <v>115</v>
      </c>
      <c r="D451" s="37">
        <f>' № 7  рп, кцср, квр'!E715</f>
        <v>5585.7999999999993</v>
      </c>
      <c r="E451" s="37">
        <f>' № 7  рп, кцср, квр'!F715</f>
        <v>5585.8</v>
      </c>
    </row>
    <row r="452" spans="1:5" ht="31.5">
      <c r="A452" s="150" t="s">
        <v>350</v>
      </c>
      <c r="B452" s="109"/>
      <c r="C452" s="56" t="s">
        <v>351</v>
      </c>
      <c r="D452" s="37">
        <f>D453</f>
        <v>1396.5</v>
      </c>
      <c r="E452" s="37">
        <f>E453</f>
        <v>1396.5</v>
      </c>
    </row>
    <row r="453" spans="1:5" ht="31.5">
      <c r="A453" s="233" t="s">
        <v>350</v>
      </c>
      <c r="B453" s="233" t="s">
        <v>70</v>
      </c>
      <c r="C453" s="56" t="s">
        <v>91</v>
      </c>
      <c r="D453" s="125">
        <f>D454</f>
        <v>1396.5</v>
      </c>
      <c r="E453" s="37">
        <f>E454</f>
        <v>1396.5</v>
      </c>
    </row>
    <row r="454" spans="1:5">
      <c r="A454" s="233" t="s">
        <v>350</v>
      </c>
      <c r="B454" s="233" t="s">
        <v>114</v>
      </c>
      <c r="C454" s="56" t="s">
        <v>115</v>
      </c>
      <c r="D454" s="125">
        <f>' № 7  рп, кцср, квр'!E718</f>
        <v>1396.5</v>
      </c>
      <c r="E454" s="37">
        <f>' № 7  рп, кцср, квр'!F718</f>
        <v>1396.5</v>
      </c>
    </row>
    <row r="455" spans="1:5" ht="31.5">
      <c r="A455" s="233">
        <v>2610300000</v>
      </c>
      <c r="B455" s="275"/>
      <c r="C455" s="115" t="s">
        <v>398</v>
      </c>
      <c r="D455" s="125">
        <f t="shared" ref="D455:E457" si="74">D456</f>
        <v>1753.9</v>
      </c>
      <c r="E455" s="37">
        <f t="shared" si="74"/>
        <v>0</v>
      </c>
    </row>
    <row r="456" spans="1:5" ht="31.5">
      <c r="A456" s="233">
        <v>2610320030</v>
      </c>
      <c r="B456" s="275"/>
      <c r="C456" s="114" t="s">
        <v>399</v>
      </c>
      <c r="D456" s="125">
        <f t="shared" si="74"/>
        <v>1753.9</v>
      </c>
      <c r="E456" s="37">
        <f t="shared" si="74"/>
        <v>0</v>
      </c>
    </row>
    <row r="457" spans="1:5" ht="31.5">
      <c r="A457" s="233">
        <v>2610320030</v>
      </c>
      <c r="B457" s="233" t="s">
        <v>67</v>
      </c>
      <c r="C457" s="276" t="s">
        <v>90</v>
      </c>
      <c r="D457" s="125">
        <f t="shared" si="74"/>
        <v>1753.9</v>
      </c>
      <c r="E457" s="37">
        <f t="shared" si="74"/>
        <v>0</v>
      </c>
    </row>
    <row r="458" spans="1:5" ht="31.5">
      <c r="A458" s="233">
        <v>2610320030</v>
      </c>
      <c r="B458" s="275">
        <v>240</v>
      </c>
      <c r="C458" s="276" t="s">
        <v>216</v>
      </c>
      <c r="D458" s="125">
        <f>' № 7  рп, кцср, квр'!E119</f>
        <v>1753.9</v>
      </c>
      <c r="E458" s="37">
        <f>' № 7  рп, кцср, квр'!F119</f>
        <v>0</v>
      </c>
    </row>
    <row r="459" spans="1:5" ht="47.25">
      <c r="A459" s="233">
        <v>2620000000</v>
      </c>
      <c r="B459" s="275"/>
      <c r="C459" s="276" t="s">
        <v>197</v>
      </c>
      <c r="D459" s="125">
        <f>D460+D467</f>
        <v>3445.9</v>
      </c>
      <c r="E459" s="37">
        <f>E460+E467</f>
        <v>3040.4</v>
      </c>
    </row>
    <row r="460" spans="1:5" ht="47.25">
      <c r="A460" s="98">
        <v>2620100000</v>
      </c>
      <c r="B460" s="98"/>
      <c r="C460" s="99" t="s">
        <v>198</v>
      </c>
      <c r="D460" s="37">
        <f>D461+D464</f>
        <v>3235.4</v>
      </c>
      <c r="E460" s="37">
        <f>E461+E464</f>
        <v>2871.4</v>
      </c>
    </row>
    <row r="461" spans="1:5" ht="47.25">
      <c r="A461" s="98">
        <v>2620120180</v>
      </c>
      <c r="B461" s="98"/>
      <c r="C461" s="276" t="s">
        <v>199</v>
      </c>
      <c r="D461" s="37">
        <f t="shared" ref="D461:E462" si="75">D462</f>
        <v>1990.9</v>
      </c>
      <c r="E461" s="37">
        <f t="shared" si="75"/>
        <v>1627.7</v>
      </c>
    </row>
    <row r="462" spans="1:5" ht="31.5">
      <c r="A462" s="98">
        <v>2620120180</v>
      </c>
      <c r="B462" s="98" t="s">
        <v>67</v>
      </c>
      <c r="C462" s="99" t="s">
        <v>90</v>
      </c>
      <c r="D462" s="37">
        <f t="shared" si="75"/>
        <v>1990.9</v>
      </c>
      <c r="E462" s="37">
        <f t="shared" si="75"/>
        <v>1627.7</v>
      </c>
    </row>
    <row r="463" spans="1:5" ht="31.5">
      <c r="A463" s="98">
        <v>2620120180</v>
      </c>
      <c r="B463" s="98">
        <v>240</v>
      </c>
      <c r="C463" s="99" t="s">
        <v>216</v>
      </c>
      <c r="D463" s="37">
        <f>' № 7  рп, кцср, квр'!E124</f>
        <v>1990.9</v>
      </c>
      <c r="E463" s="37">
        <f>' № 7  рп, кцср, квр'!F124</f>
        <v>1627.7</v>
      </c>
    </row>
    <row r="464" spans="1:5" ht="47.25">
      <c r="A464" s="98">
        <v>2620120520</v>
      </c>
      <c r="B464" s="98"/>
      <c r="C464" s="99" t="s">
        <v>204</v>
      </c>
      <c r="D464" s="37">
        <f t="shared" ref="D464:E465" si="76">D465</f>
        <v>1244.5</v>
      </c>
      <c r="E464" s="37">
        <f t="shared" si="76"/>
        <v>1243.7</v>
      </c>
    </row>
    <row r="465" spans="1:5" ht="31.5">
      <c r="A465" s="98">
        <v>2620120520</v>
      </c>
      <c r="B465" s="98" t="s">
        <v>67</v>
      </c>
      <c r="C465" s="99" t="s">
        <v>90</v>
      </c>
      <c r="D465" s="37">
        <f t="shared" si="76"/>
        <v>1244.5</v>
      </c>
      <c r="E465" s="37">
        <f t="shared" si="76"/>
        <v>1243.7</v>
      </c>
    </row>
    <row r="466" spans="1:5" ht="31.5">
      <c r="A466" s="98">
        <v>2620120520</v>
      </c>
      <c r="B466" s="98">
        <v>240</v>
      </c>
      <c r="C466" s="99" t="s">
        <v>216</v>
      </c>
      <c r="D466" s="37">
        <f>' № 7  рп, кцср, квр'!E127</f>
        <v>1244.5</v>
      </c>
      <c r="E466" s="37">
        <f>' № 7  рп, кцср, квр'!F127</f>
        <v>1243.7</v>
      </c>
    </row>
    <row r="467" spans="1:5" ht="47.25">
      <c r="A467" s="123">
        <v>2620200000</v>
      </c>
      <c r="B467" s="98"/>
      <c r="C467" s="99" t="s">
        <v>200</v>
      </c>
      <c r="D467" s="37">
        <f t="shared" ref="D467:E469" si="77">D468</f>
        <v>210.5</v>
      </c>
      <c r="E467" s="37">
        <f t="shared" si="77"/>
        <v>169</v>
      </c>
    </row>
    <row r="468" spans="1:5">
      <c r="A468" s="123">
        <v>2620220530</v>
      </c>
      <c r="B468" s="98"/>
      <c r="C468" s="99" t="s">
        <v>201</v>
      </c>
      <c r="D468" s="37">
        <f t="shared" si="77"/>
        <v>210.5</v>
      </c>
      <c r="E468" s="37">
        <f t="shared" si="77"/>
        <v>169</v>
      </c>
    </row>
    <row r="469" spans="1:5" ht="31.5">
      <c r="A469" s="123">
        <v>2620220530</v>
      </c>
      <c r="B469" s="98" t="s">
        <v>67</v>
      </c>
      <c r="C469" s="99" t="s">
        <v>90</v>
      </c>
      <c r="D469" s="37">
        <f t="shared" si="77"/>
        <v>210.5</v>
      </c>
      <c r="E469" s="37">
        <f t="shared" si="77"/>
        <v>169</v>
      </c>
    </row>
    <row r="470" spans="1:5" ht="31.5">
      <c r="A470" s="123">
        <v>2620220530</v>
      </c>
      <c r="B470" s="98">
        <v>240</v>
      </c>
      <c r="C470" s="99" t="s">
        <v>216</v>
      </c>
      <c r="D470" s="37">
        <f>' № 7  рп, кцср, квр'!E131</f>
        <v>210.5</v>
      </c>
      <c r="E470" s="37">
        <f>' № 7  рп, кцср, квр'!F131</f>
        <v>169</v>
      </c>
    </row>
    <row r="471" spans="1:5" ht="37.5" customHeight="1">
      <c r="A471" s="100">
        <v>2630000000</v>
      </c>
      <c r="B471" s="1"/>
      <c r="C471" s="47" t="s">
        <v>191</v>
      </c>
      <c r="D471" s="37">
        <f>D472+D476</f>
        <v>176.5</v>
      </c>
      <c r="E471" s="37">
        <f>E472+E476</f>
        <v>59.6</v>
      </c>
    </row>
    <row r="472" spans="1:5" ht="31.5">
      <c r="A472" s="100">
        <v>2630100000</v>
      </c>
      <c r="B472" s="98"/>
      <c r="C472" s="99" t="s">
        <v>193</v>
      </c>
      <c r="D472" s="37">
        <f t="shared" ref="D472:E474" si="78">D473</f>
        <v>150</v>
      </c>
      <c r="E472" s="37">
        <f t="shared" si="78"/>
        <v>33.1</v>
      </c>
    </row>
    <row r="473" spans="1:5">
      <c r="A473" s="100">
        <v>2630120510</v>
      </c>
      <c r="B473" s="98"/>
      <c r="C473" s="99" t="s">
        <v>195</v>
      </c>
      <c r="D473" s="37">
        <f t="shared" si="78"/>
        <v>150</v>
      </c>
      <c r="E473" s="37">
        <f t="shared" si="78"/>
        <v>33.1</v>
      </c>
    </row>
    <row r="474" spans="1:5" ht="31.5">
      <c r="A474" s="122">
        <v>2630120510</v>
      </c>
      <c r="B474" s="100" t="s">
        <v>67</v>
      </c>
      <c r="C474" s="99" t="s">
        <v>90</v>
      </c>
      <c r="D474" s="37">
        <f t="shared" si="78"/>
        <v>150</v>
      </c>
      <c r="E474" s="37">
        <f t="shared" si="78"/>
        <v>33.1</v>
      </c>
    </row>
    <row r="475" spans="1:5" ht="31.5">
      <c r="A475" s="122">
        <v>2630120510</v>
      </c>
      <c r="B475" s="98">
        <v>240</v>
      </c>
      <c r="C475" s="99" t="s">
        <v>216</v>
      </c>
      <c r="D475" s="37">
        <f>' № 7  рп, кцср, квр'!E544</f>
        <v>150</v>
      </c>
      <c r="E475" s="37">
        <f>' № 7  рп, кцср, квр'!F544</f>
        <v>33.1</v>
      </c>
    </row>
    <row r="476" spans="1:5" ht="31.5">
      <c r="A476" s="123">
        <v>2630200000</v>
      </c>
      <c r="B476" s="1"/>
      <c r="C476" s="47" t="s">
        <v>194</v>
      </c>
      <c r="D476" s="37">
        <f t="shared" ref="D476:E478" si="79">D477</f>
        <v>26.5</v>
      </c>
      <c r="E476" s="37">
        <f t="shared" si="79"/>
        <v>26.5</v>
      </c>
    </row>
    <row r="477" spans="1:5">
      <c r="A477" s="123">
        <v>2630220250</v>
      </c>
      <c r="B477" s="1"/>
      <c r="C477" s="47" t="s">
        <v>192</v>
      </c>
      <c r="D477" s="37">
        <f t="shared" si="79"/>
        <v>26.5</v>
      </c>
      <c r="E477" s="37">
        <f t="shared" si="79"/>
        <v>26.5</v>
      </c>
    </row>
    <row r="478" spans="1:5" ht="31.5">
      <c r="A478" s="123">
        <v>2630220250</v>
      </c>
      <c r="B478" s="100" t="s">
        <v>67</v>
      </c>
      <c r="C478" s="99" t="s">
        <v>90</v>
      </c>
      <c r="D478" s="37">
        <f t="shared" si="79"/>
        <v>26.5</v>
      </c>
      <c r="E478" s="37">
        <f t="shared" si="79"/>
        <v>26.5</v>
      </c>
    </row>
    <row r="479" spans="1:5" ht="31.5">
      <c r="A479" s="123">
        <v>2630220250</v>
      </c>
      <c r="B479" s="98">
        <v>240</v>
      </c>
      <c r="C479" s="99" t="s">
        <v>216</v>
      </c>
      <c r="D479" s="37">
        <f>' № 7  рп, кцср, квр'!E136</f>
        <v>26.5</v>
      </c>
      <c r="E479" s="37">
        <f>' № 7  рп, кцср, квр'!F136</f>
        <v>26.5</v>
      </c>
    </row>
    <row r="480" spans="1:5" ht="31.5">
      <c r="A480" s="201">
        <v>2640000000</v>
      </c>
      <c r="B480" s="109"/>
      <c r="C480" s="203" t="s">
        <v>395</v>
      </c>
      <c r="D480" s="37">
        <f xml:space="preserve"> D481</f>
        <v>29.7</v>
      </c>
      <c r="E480" s="37">
        <f xml:space="preserve"> E481</f>
        <v>29.7</v>
      </c>
    </row>
    <row r="481" spans="1:5" ht="31.5">
      <c r="A481" s="201">
        <v>2640300000</v>
      </c>
      <c r="B481" s="78"/>
      <c r="C481" s="203" t="s">
        <v>396</v>
      </c>
      <c r="D481" s="37">
        <f t="shared" ref="D481:E483" si="80">D482</f>
        <v>29.7</v>
      </c>
      <c r="E481" s="37">
        <f t="shared" si="80"/>
        <v>29.7</v>
      </c>
    </row>
    <row r="482" spans="1:5" ht="31.5">
      <c r="A482" s="201">
        <v>2640320210</v>
      </c>
      <c r="B482" s="78"/>
      <c r="C482" s="203" t="s">
        <v>397</v>
      </c>
      <c r="D482" s="37">
        <f t="shared" si="80"/>
        <v>29.7</v>
      </c>
      <c r="E482" s="37">
        <f t="shared" si="80"/>
        <v>29.7</v>
      </c>
    </row>
    <row r="483" spans="1:5" ht="31.5">
      <c r="A483" s="201">
        <v>2640320210</v>
      </c>
      <c r="B483" s="109" t="s">
        <v>67</v>
      </c>
      <c r="C483" s="203" t="s">
        <v>90</v>
      </c>
      <c r="D483" s="37">
        <f t="shared" si="80"/>
        <v>29.7</v>
      </c>
      <c r="E483" s="37">
        <f t="shared" si="80"/>
        <v>29.7</v>
      </c>
    </row>
    <row r="484" spans="1:5" ht="31.5">
      <c r="A484" s="201">
        <v>2640320210</v>
      </c>
      <c r="B484" s="78">
        <v>240</v>
      </c>
      <c r="C484" s="203" t="s">
        <v>216</v>
      </c>
      <c r="D484" s="37">
        <f>' № 7  рп, кцср, квр'!E241</f>
        <v>29.7</v>
      </c>
      <c r="E484" s="37">
        <f>' № 7  рп, кцср, квр'!F241</f>
        <v>29.7</v>
      </c>
    </row>
    <row r="485" spans="1:5">
      <c r="A485" s="16">
        <v>9900000000</v>
      </c>
      <c r="B485" s="16"/>
      <c r="C485" s="45" t="s">
        <v>100</v>
      </c>
      <c r="D485" s="36">
        <f>D486+D503+D494+D490</f>
        <v>89497.999999999985</v>
      </c>
      <c r="E485" s="36">
        <f>E486+E503+E494+E490</f>
        <v>85133.2</v>
      </c>
    </row>
    <row r="486" spans="1:5">
      <c r="A486" s="98">
        <v>9910000000</v>
      </c>
      <c r="B486" s="98"/>
      <c r="C486" s="99" t="s">
        <v>8</v>
      </c>
      <c r="D486" s="37">
        <f t="shared" ref="D486:E488" si="81">D487</f>
        <v>3000</v>
      </c>
      <c r="E486" s="37">
        <f t="shared" si="81"/>
        <v>172.9</v>
      </c>
    </row>
    <row r="487" spans="1:5">
      <c r="A487" s="98">
        <v>9910020000</v>
      </c>
      <c r="B487" s="98"/>
      <c r="C487" s="99" t="s">
        <v>276</v>
      </c>
      <c r="D487" s="37">
        <f t="shared" si="81"/>
        <v>3000</v>
      </c>
      <c r="E487" s="37">
        <f t="shared" si="81"/>
        <v>172.9</v>
      </c>
    </row>
    <row r="488" spans="1:5">
      <c r="A488" s="98">
        <v>9910020000</v>
      </c>
      <c r="B488" s="100" t="s">
        <v>68</v>
      </c>
      <c r="C488" s="99" t="s">
        <v>69</v>
      </c>
      <c r="D488" s="37">
        <f t="shared" si="81"/>
        <v>3000</v>
      </c>
      <c r="E488" s="37">
        <f t="shared" si="81"/>
        <v>172.9</v>
      </c>
    </row>
    <row r="489" spans="1:5">
      <c r="A489" s="98">
        <v>9910020000</v>
      </c>
      <c r="B489" s="2" t="s">
        <v>155</v>
      </c>
      <c r="C489" s="47" t="s">
        <v>156</v>
      </c>
      <c r="D489" s="37">
        <f>'№ 6 ведом'!F560+'№ 6 ведом'!F206</f>
        <v>3000</v>
      </c>
      <c r="E489" s="37">
        <f>'№ 6 ведом'!G560+'№ 6 ведом'!G206</f>
        <v>172.9</v>
      </c>
    </row>
    <row r="490" spans="1:5" ht="47.25">
      <c r="A490" s="185">
        <v>9920000000</v>
      </c>
      <c r="B490" s="185"/>
      <c r="C490" s="56" t="s">
        <v>381</v>
      </c>
      <c r="D490" s="37">
        <f t="shared" ref="D490:E492" si="82">D491</f>
        <v>300</v>
      </c>
      <c r="E490" s="37">
        <f t="shared" si="82"/>
        <v>300</v>
      </c>
    </row>
    <row r="491" spans="1:5" ht="31.5">
      <c r="A491" s="185">
        <v>9920010920</v>
      </c>
      <c r="B491" s="185"/>
      <c r="C491" s="56" t="s">
        <v>382</v>
      </c>
      <c r="D491" s="37">
        <f t="shared" si="82"/>
        <v>300</v>
      </c>
      <c r="E491" s="37">
        <f t="shared" si="82"/>
        <v>300</v>
      </c>
    </row>
    <row r="492" spans="1:5" ht="31.5">
      <c r="A492" s="185">
        <v>9920010920</v>
      </c>
      <c r="B492" s="184" t="s">
        <v>92</v>
      </c>
      <c r="C492" s="56" t="s">
        <v>93</v>
      </c>
      <c r="D492" s="37">
        <f t="shared" si="82"/>
        <v>300</v>
      </c>
      <c r="E492" s="37">
        <f t="shared" si="82"/>
        <v>300</v>
      </c>
    </row>
    <row r="493" spans="1:5">
      <c r="A493" s="185">
        <v>9920010920</v>
      </c>
      <c r="B493" s="185">
        <v>610</v>
      </c>
      <c r="C493" s="56" t="s">
        <v>99</v>
      </c>
      <c r="D493" s="37">
        <f>' № 7  рп, кцср, квр'!E497+' № 7  рп, кцср, квр'!E668</f>
        <v>300</v>
      </c>
      <c r="E493" s="37">
        <f>' № 7  рп, кцср, квр'!F497+' № 7  рп, кцср, квр'!F668</f>
        <v>300</v>
      </c>
    </row>
    <row r="494" spans="1:5" ht="31.5">
      <c r="A494" s="123">
        <v>9930000000</v>
      </c>
      <c r="B494" s="123"/>
      <c r="C494" s="124" t="s">
        <v>150</v>
      </c>
      <c r="D494" s="37">
        <f>D500+D495</f>
        <v>829.80000000000007</v>
      </c>
      <c r="E494" s="37">
        <f>E500+E495</f>
        <v>829.80000000000007</v>
      </c>
    </row>
    <row r="495" spans="1:5" ht="31.5">
      <c r="A495" s="167">
        <v>9930020490</v>
      </c>
      <c r="B495" s="167"/>
      <c r="C495" s="56" t="s">
        <v>363</v>
      </c>
      <c r="D495" s="37">
        <f>D498+D496</f>
        <v>825.2</v>
      </c>
      <c r="E495" s="37">
        <f>E498+E496</f>
        <v>825.2</v>
      </c>
    </row>
    <row r="496" spans="1:5" ht="31.5">
      <c r="A496" s="185">
        <v>9930020490</v>
      </c>
      <c r="B496" s="184" t="s">
        <v>67</v>
      </c>
      <c r="C496" s="186" t="s">
        <v>90</v>
      </c>
      <c r="D496" s="37">
        <f>D497</f>
        <v>30.6</v>
      </c>
      <c r="E496" s="37">
        <f>E497</f>
        <v>30.6</v>
      </c>
    </row>
    <row r="497" spans="1:5" ht="31.5">
      <c r="A497" s="185">
        <v>9930020490</v>
      </c>
      <c r="B497" s="185">
        <v>240</v>
      </c>
      <c r="C497" s="186" t="s">
        <v>216</v>
      </c>
      <c r="D497" s="37">
        <f>' № 7  рп, кцср, квр'!E141</f>
        <v>30.6</v>
      </c>
      <c r="E497" s="37">
        <f>' № 7  рп, кцср, квр'!F141</f>
        <v>30.6</v>
      </c>
    </row>
    <row r="498" spans="1:5">
      <c r="A498" s="167">
        <v>9930020490</v>
      </c>
      <c r="B498" s="11" t="s">
        <v>68</v>
      </c>
      <c r="C498" s="42" t="s">
        <v>69</v>
      </c>
      <c r="D498" s="37">
        <f>D499</f>
        <v>794.6</v>
      </c>
      <c r="E498" s="37">
        <f>E499</f>
        <v>794.6</v>
      </c>
    </row>
    <row r="499" spans="1:5">
      <c r="A499" s="167">
        <v>9930020490</v>
      </c>
      <c r="B499" s="1" t="s">
        <v>364</v>
      </c>
      <c r="C499" s="140" t="s">
        <v>365</v>
      </c>
      <c r="D499" s="37">
        <f>' № 7  рп, кцср, квр'!E143+' № 7  рп, кцср, квр'!E344</f>
        <v>794.6</v>
      </c>
      <c r="E499" s="37">
        <f>' № 7  рп, кцср, квр'!F143+' № 7  рп, кцср, квр'!F344</f>
        <v>794.6</v>
      </c>
    </row>
    <row r="500" spans="1:5" ht="47.25">
      <c r="A500" s="98">
        <v>9930051200</v>
      </c>
      <c r="B500" s="98"/>
      <c r="C500" s="99" t="s">
        <v>151</v>
      </c>
      <c r="D500" s="37">
        <f t="shared" ref="D500:E501" si="83">D501</f>
        <v>4.6000000000000014</v>
      </c>
      <c r="E500" s="37">
        <f t="shared" si="83"/>
        <v>4.5999999999999996</v>
      </c>
    </row>
    <row r="501" spans="1:5" ht="31.5">
      <c r="A501" s="98">
        <v>9930051200</v>
      </c>
      <c r="B501" s="98" t="s">
        <v>67</v>
      </c>
      <c r="C501" s="99" t="s">
        <v>90</v>
      </c>
      <c r="D501" s="37">
        <f t="shared" si="83"/>
        <v>4.6000000000000014</v>
      </c>
      <c r="E501" s="37">
        <f t="shared" si="83"/>
        <v>4.5999999999999996</v>
      </c>
    </row>
    <row r="502" spans="1:5" ht="31.5">
      <c r="A502" s="98">
        <v>9930051200</v>
      </c>
      <c r="B502" s="98">
        <v>240</v>
      </c>
      <c r="C502" s="99" t="s">
        <v>216</v>
      </c>
      <c r="D502" s="37">
        <f>'№ 6 ведом'!F32</f>
        <v>4.6000000000000014</v>
      </c>
      <c r="E502" s="37">
        <f>'№ 6 ведом'!G32</f>
        <v>4.5999999999999996</v>
      </c>
    </row>
    <row r="503" spans="1:5" ht="31.5">
      <c r="A503" s="98">
        <v>9990000000</v>
      </c>
      <c r="B503" s="98"/>
      <c r="C503" s="99" t="s">
        <v>141</v>
      </c>
      <c r="D503" s="37">
        <f>D504+D513+D533</f>
        <v>85368.199999999983</v>
      </c>
      <c r="E503" s="37">
        <f>E504+E513+E533</f>
        <v>83830.5</v>
      </c>
    </row>
    <row r="504" spans="1:5" ht="31.5">
      <c r="A504" s="98">
        <v>9990100000</v>
      </c>
      <c r="B504" s="98"/>
      <c r="C504" s="99" t="s">
        <v>157</v>
      </c>
      <c r="D504" s="37">
        <f>D505+D510</f>
        <v>3835.2000000000003</v>
      </c>
      <c r="E504" s="37">
        <f>E505+E510</f>
        <v>3816.1</v>
      </c>
    </row>
    <row r="505" spans="1:5" ht="31.5">
      <c r="A505" s="98">
        <v>9990123000</v>
      </c>
      <c r="B505" s="98"/>
      <c r="C505" s="99" t="s">
        <v>158</v>
      </c>
      <c r="D505" s="37">
        <f>D506+D508</f>
        <v>3790.3</v>
      </c>
      <c r="E505" s="37">
        <f>E506+E508</f>
        <v>3786.2</v>
      </c>
    </row>
    <row r="506" spans="1:5" ht="63">
      <c r="A506" s="98">
        <v>9990123000</v>
      </c>
      <c r="B506" s="98" t="s">
        <v>66</v>
      </c>
      <c r="C506" s="99" t="s">
        <v>1</v>
      </c>
      <c r="D506" s="37">
        <f>D507</f>
        <v>3180.5</v>
      </c>
      <c r="E506" s="37">
        <f>E507</f>
        <v>3180.5</v>
      </c>
    </row>
    <row r="507" spans="1:5" ht="31.5">
      <c r="A507" s="98">
        <v>9990123000</v>
      </c>
      <c r="B507" s="98">
        <v>120</v>
      </c>
      <c r="C507" s="99" t="s">
        <v>217</v>
      </c>
      <c r="D507" s="37">
        <f>' № 7  рп, кцср, квр'!E15</f>
        <v>3180.5</v>
      </c>
      <c r="E507" s="37">
        <f>' № 7  рп, кцср, квр'!F15</f>
        <v>3180.5</v>
      </c>
    </row>
    <row r="508" spans="1:5" ht="31.5">
      <c r="A508" s="98">
        <v>9990123000</v>
      </c>
      <c r="B508" s="100" t="s">
        <v>67</v>
      </c>
      <c r="C508" s="99" t="s">
        <v>90</v>
      </c>
      <c r="D508" s="37">
        <f>D509</f>
        <v>609.79999999999995</v>
      </c>
      <c r="E508" s="37">
        <f>E509</f>
        <v>605.70000000000005</v>
      </c>
    </row>
    <row r="509" spans="1:5" ht="31.5">
      <c r="A509" s="98">
        <v>9990123000</v>
      </c>
      <c r="B509" s="98">
        <v>240</v>
      </c>
      <c r="C509" s="99" t="s">
        <v>216</v>
      </c>
      <c r="D509" s="37">
        <f>' № 7  рп, кцср, квр'!E17</f>
        <v>609.79999999999995</v>
      </c>
      <c r="E509" s="37">
        <f>' № 7  рп, кцср, квр'!F17</f>
        <v>605.70000000000005</v>
      </c>
    </row>
    <row r="510" spans="1:5" ht="47.25">
      <c r="A510" s="229">
        <v>9990155492</v>
      </c>
      <c r="B510" s="224"/>
      <c r="C510" s="225" t="s">
        <v>409</v>
      </c>
      <c r="D510" s="21">
        <f>D511</f>
        <v>44.9</v>
      </c>
      <c r="E510" s="21">
        <f>E511</f>
        <v>29.9</v>
      </c>
    </row>
    <row r="511" spans="1:5" ht="63">
      <c r="A511" s="229">
        <v>9990155492</v>
      </c>
      <c r="B511" s="224" t="s">
        <v>66</v>
      </c>
      <c r="C511" s="225" t="s">
        <v>1</v>
      </c>
      <c r="D511" s="21">
        <f>D512</f>
        <v>44.9</v>
      </c>
      <c r="E511" s="21">
        <f>E512</f>
        <v>29.9</v>
      </c>
    </row>
    <row r="512" spans="1:5" ht="31.5">
      <c r="A512" s="229">
        <v>9990155492</v>
      </c>
      <c r="B512" s="224">
        <v>120</v>
      </c>
      <c r="C512" s="225" t="s">
        <v>217</v>
      </c>
      <c r="D512" s="21">
        <f>' № 7  рп, кцср, квр'!E20</f>
        <v>44.9</v>
      </c>
      <c r="E512" s="21">
        <f>' № 7  рп, кцср, квр'!F20</f>
        <v>29.9</v>
      </c>
    </row>
    <row r="513" spans="1:5" ht="31.5">
      <c r="A513" s="224">
        <v>9990200000</v>
      </c>
      <c r="B513" s="24"/>
      <c r="C513" s="225" t="s">
        <v>112</v>
      </c>
      <c r="D513" s="37">
        <f>D520+D514+D517+D530</f>
        <v>54538.099999999991</v>
      </c>
      <c r="E513" s="37">
        <f>E520+E514+E517+E530</f>
        <v>54333</v>
      </c>
    </row>
    <row r="514" spans="1:5" ht="47.25">
      <c r="A514" s="224">
        <v>9990210510</v>
      </c>
      <c r="B514" s="224"/>
      <c r="C514" s="225" t="s">
        <v>142</v>
      </c>
      <c r="D514" s="37">
        <f t="shared" ref="D514:E515" si="84">D515</f>
        <v>733.2</v>
      </c>
      <c r="E514" s="37">
        <f t="shared" si="84"/>
        <v>733.2</v>
      </c>
    </row>
    <row r="515" spans="1:5" ht="63">
      <c r="A515" s="98">
        <v>9990210510</v>
      </c>
      <c r="B515" s="98" t="s">
        <v>66</v>
      </c>
      <c r="C515" s="99" t="s">
        <v>1</v>
      </c>
      <c r="D515" s="37">
        <f t="shared" si="84"/>
        <v>733.2</v>
      </c>
      <c r="E515" s="37">
        <f t="shared" si="84"/>
        <v>733.2</v>
      </c>
    </row>
    <row r="516" spans="1:5" ht="31.5">
      <c r="A516" s="98">
        <v>9990210510</v>
      </c>
      <c r="B516" s="98">
        <v>120</v>
      </c>
      <c r="C516" s="99" t="s">
        <v>217</v>
      </c>
      <c r="D516" s="37">
        <f>' № 7  рп, кцср, квр'!E27</f>
        <v>733.2</v>
      </c>
      <c r="E516" s="37">
        <f>' № 7  рп, кцср, квр'!F27</f>
        <v>733.2</v>
      </c>
    </row>
    <row r="517" spans="1:5" ht="63">
      <c r="A517" s="98">
        <v>9990210540</v>
      </c>
      <c r="B517" s="98"/>
      <c r="C517" s="99" t="s">
        <v>147</v>
      </c>
      <c r="D517" s="37">
        <f t="shared" ref="D517:E518" si="85">D518</f>
        <v>319.5</v>
      </c>
      <c r="E517" s="37">
        <f t="shared" si="85"/>
        <v>319.5</v>
      </c>
    </row>
    <row r="518" spans="1:5" ht="63">
      <c r="A518" s="98">
        <v>9990210540</v>
      </c>
      <c r="B518" s="98" t="s">
        <v>66</v>
      </c>
      <c r="C518" s="99" t="s">
        <v>1</v>
      </c>
      <c r="D518" s="37">
        <f t="shared" si="85"/>
        <v>319.5</v>
      </c>
      <c r="E518" s="37">
        <f t="shared" si="85"/>
        <v>319.5</v>
      </c>
    </row>
    <row r="519" spans="1:5" ht="31.5">
      <c r="A519" s="98">
        <v>9990210540</v>
      </c>
      <c r="B519" s="98">
        <v>120</v>
      </c>
      <c r="C519" s="99" t="s">
        <v>217</v>
      </c>
      <c r="D519" s="37">
        <f>' № 7  рп, кцср, квр'!E148</f>
        <v>319.5</v>
      </c>
      <c r="E519" s="37">
        <f>' № 7  рп, кцср, квр'!F148</f>
        <v>319.5</v>
      </c>
    </row>
    <row r="520" spans="1:5" ht="47.25">
      <c r="A520" s="98">
        <v>9990225000</v>
      </c>
      <c r="B520" s="98"/>
      <c r="C520" s="99" t="s">
        <v>113</v>
      </c>
      <c r="D520" s="37">
        <f>D521+D525+D523+D527</f>
        <v>52023.199999999997</v>
      </c>
      <c r="E520" s="37">
        <f>E521+E525+E523+E527</f>
        <v>51818.100000000006</v>
      </c>
    </row>
    <row r="521" spans="1:5" ht="63">
      <c r="A521" s="98">
        <v>9990225000</v>
      </c>
      <c r="B521" s="98" t="s">
        <v>66</v>
      </c>
      <c r="C521" s="99" t="s">
        <v>1</v>
      </c>
      <c r="D521" s="37">
        <f>D522</f>
        <v>50819.199999999997</v>
      </c>
      <c r="E521" s="37">
        <f>E522</f>
        <v>50790.9</v>
      </c>
    </row>
    <row r="522" spans="1:5" ht="31.5">
      <c r="A522" s="98">
        <v>9990225000</v>
      </c>
      <c r="B522" s="98">
        <v>120</v>
      </c>
      <c r="C522" s="99" t="s">
        <v>217</v>
      </c>
      <c r="D522" s="37">
        <f>' № 7  рп, кцср, квр'!E590+' № 7  рп, кцср, квр'!E151+' № 7  рп, кцср, квр'!E50+' № 7  рп, кцср, квр'!E30</f>
        <v>50819.199999999997</v>
      </c>
      <c r="E522" s="37">
        <f>' № 7  рп, кцср, квр'!F590+' № 7  рп, кцср, квр'!F151+' № 7  рп, кцср, квр'!F50+' № 7  рп, кцср, квр'!F30</f>
        <v>50790.9</v>
      </c>
    </row>
    <row r="523" spans="1:5" ht="31.5">
      <c r="A523" s="212">
        <v>9990225000</v>
      </c>
      <c r="B523" s="211" t="s">
        <v>67</v>
      </c>
      <c r="C523" s="213" t="s">
        <v>90</v>
      </c>
      <c r="D523" s="37">
        <f>D524</f>
        <v>33</v>
      </c>
      <c r="E523" s="37">
        <f>E524</f>
        <v>0</v>
      </c>
    </row>
    <row r="524" spans="1:5" ht="31.5">
      <c r="A524" s="212">
        <v>9990225000</v>
      </c>
      <c r="B524" s="212">
        <v>240</v>
      </c>
      <c r="C524" s="213" t="s">
        <v>216</v>
      </c>
      <c r="D524" s="37">
        <f>' № 7  рп, кцср, квр'!E32</f>
        <v>33</v>
      </c>
      <c r="E524" s="37">
        <f>' № 7  рп, кцср, квр'!F32</f>
        <v>0</v>
      </c>
    </row>
    <row r="525" spans="1:5">
      <c r="A525" s="98">
        <v>9990225000</v>
      </c>
      <c r="B525" s="98" t="s">
        <v>68</v>
      </c>
      <c r="C525" s="99" t="s">
        <v>69</v>
      </c>
      <c r="D525" s="37">
        <f>D526</f>
        <v>174.3</v>
      </c>
      <c r="E525" s="37">
        <f>E526</f>
        <v>174.3</v>
      </c>
    </row>
    <row r="526" spans="1:5">
      <c r="A526" s="98">
        <v>9990225000</v>
      </c>
      <c r="B526" s="98">
        <v>850</v>
      </c>
      <c r="C526" s="99" t="s">
        <v>95</v>
      </c>
      <c r="D526" s="37">
        <f>' № 7  рп, кцср, квр'!E34+' № 7  рп, кцср, квр'!E52+' № 7  рп, кцср, квр'!E592</f>
        <v>174.3</v>
      </c>
      <c r="E526" s="37">
        <f>' № 7  рп, кцср, квр'!F34+' № 7  рп, кцср, квр'!F52+' № 7  рп, кцср, квр'!F592</f>
        <v>174.3</v>
      </c>
    </row>
    <row r="527" spans="1:5" ht="47.25">
      <c r="A527" s="229">
        <v>9990255492</v>
      </c>
      <c r="B527" s="224"/>
      <c r="C527" s="225" t="s">
        <v>409</v>
      </c>
      <c r="D527" s="37">
        <f>D528</f>
        <v>996.7</v>
      </c>
      <c r="E527" s="37">
        <f>E528</f>
        <v>852.9</v>
      </c>
    </row>
    <row r="528" spans="1:5" ht="63">
      <c r="A528" s="229">
        <v>9990255492</v>
      </c>
      <c r="B528" s="224" t="s">
        <v>66</v>
      </c>
      <c r="C528" s="225" t="s">
        <v>1</v>
      </c>
      <c r="D528" s="37">
        <f>D529</f>
        <v>996.7</v>
      </c>
      <c r="E528" s="37">
        <f>E529</f>
        <v>852.9</v>
      </c>
    </row>
    <row r="529" spans="1:7" ht="31.5">
      <c r="A529" s="229">
        <v>9990255492</v>
      </c>
      <c r="B529" s="224">
        <v>120</v>
      </c>
      <c r="C529" s="225" t="s">
        <v>217</v>
      </c>
      <c r="D529" s="37">
        <f>' № 7  рп, кцср, квр'!E37+' № 7  рп, кцср, квр'!E55+' № 7  рп, кцср, квр'!E154+' № 7  рп, кцср, квр'!E595</f>
        <v>996.7</v>
      </c>
      <c r="E529" s="37">
        <f>' № 7  рп, кцср, квр'!F37+' № 7  рп, кцср, квр'!F55+' № 7  рп, кцср, квр'!F154+' № 7  рп, кцср, квр'!F595</f>
        <v>852.9</v>
      </c>
    </row>
    <row r="530" spans="1:7" ht="31.5">
      <c r="A530" s="98">
        <v>9990259302</v>
      </c>
      <c r="B530" s="98"/>
      <c r="C530" s="99" t="s">
        <v>154</v>
      </c>
      <c r="D530" s="37">
        <f t="shared" ref="D530:E531" si="86">D531</f>
        <v>1462.2</v>
      </c>
      <c r="E530" s="37">
        <f t="shared" si="86"/>
        <v>1462.2</v>
      </c>
    </row>
    <row r="531" spans="1:7" ht="63">
      <c r="A531" s="98">
        <v>9990259302</v>
      </c>
      <c r="B531" s="98" t="s">
        <v>66</v>
      </c>
      <c r="C531" s="99" t="s">
        <v>1</v>
      </c>
      <c r="D531" s="37">
        <f t="shared" si="86"/>
        <v>1462.2</v>
      </c>
      <c r="E531" s="37">
        <f t="shared" si="86"/>
        <v>1462.2</v>
      </c>
    </row>
    <row r="532" spans="1:7" ht="31.5">
      <c r="A532" s="98">
        <v>9990259302</v>
      </c>
      <c r="B532" s="98">
        <v>120</v>
      </c>
      <c r="C532" s="99" t="s">
        <v>217</v>
      </c>
      <c r="D532" s="37">
        <f>' № 7  рп, кцср, квр'!E169</f>
        <v>1462.2</v>
      </c>
      <c r="E532" s="37">
        <f>' № 7  рп, кцср, квр'!F169</f>
        <v>1462.2</v>
      </c>
    </row>
    <row r="533" spans="1:7" ht="31.5">
      <c r="A533" s="98">
        <v>9990300000</v>
      </c>
      <c r="B533" s="98"/>
      <c r="C533" s="99" t="s">
        <v>152</v>
      </c>
      <c r="D533" s="37">
        <f>D534+D536+D538</f>
        <v>26994.9</v>
      </c>
      <c r="E533" s="37">
        <f>E534+E536+E538</f>
        <v>25681.4</v>
      </c>
    </row>
    <row r="534" spans="1:7" ht="63">
      <c r="A534" s="98">
        <v>9990300000</v>
      </c>
      <c r="B534" s="98" t="s">
        <v>66</v>
      </c>
      <c r="C534" s="99" t="s">
        <v>1</v>
      </c>
      <c r="D534" s="37">
        <f>D535</f>
        <v>18728.300000000003</v>
      </c>
      <c r="E534" s="37">
        <f>E535</f>
        <v>18728.3</v>
      </c>
    </row>
    <row r="535" spans="1:7">
      <c r="A535" s="98">
        <v>9990300000</v>
      </c>
      <c r="B535" s="98">
        <v>110</v>
      </c>
      <c r="C535" s="47" t="s">
        <v>153</v>
      </c>
      <c r="D535" s="37">
        <f>' № 7  рп, кцср, квр'!E157</f>
        <v>18728.300000000003</v>
      </c>
      <c r="E535" s="37">
        <f>' № 7  рп, кцср, квр'!F157</f>
        <v>18728.3</v>
      </c>
    </row>
    <row r="536" spans="1:7" ht="31.5">
      <c r="A536" s="98">
        <v>9990300000</v>
      </c>
      <c r="B536" s="98" t="s">
        <v>67</v>
      </c>
      <c r="C536" s="99" t="s">
        <v>90</v>
      </c>
      <c r="D536" s="37">
        <f>D537</f>
        <v>8238.9999999999982</v>
      </c>
      <c r="E536" s="37">
        <f>E537</f>
        <v>6928.6</v>
      </c>
    </row>
    <row r="537" spans="1:7" ht="31.5">
      <c r="A537" s="98">
        <v>9990300000</v>
      </c>
      <c r="B537" s="98">
        <v>240</v>
      </c>
      <c r="C537" s="99" t="s">
        <v>216</v>
      </c>
      <c r="D537" s="37">
        <f>' № 7  рп, кцср, квр'!E159</f>
        <v>8238.9999999999982</v>
      </c>
      <c r="E537" s="37">
        <f>' № 7  рп, кцср, квр'!F159</f>
        <v>6928.6</v>
      </c>
    </row>
    <row r="538" spans="1:7">
      <c r="A538" s="98">
        <v>9990300000</v>
      </c>
      <c r="B538" s="98" t="s">
        <v>68</v>
      </c>
      <c r="C538" s="99" t="s">
        <v>69</v>
      </c>
      <c r="D538" s="37">
        <f>D539</f>
        <v>27.6</v>
      </c>
      <c r="E538" s="37">
        <f>E539</f>
        <v>24.5</v>
      </c>
    </row>
    <row r="539" spans="1:7">
      <c r="A539" s="98">
        <v>9990300000</v>
      </c>
      <c r="B539" s="98">
        <v>850</v>
      </c>
      <c r="C539" s="99" t="s">
        <v>95</v>
      </c>
      <c r="D539" s="37">
        <f>' № 7  рп, кцср, квр'!E161</f>
        <v>27.6</v>
      </c>
      <c r="E539" s="37">
        <f>' № 7  рп, кцср, квр'!F161</f>
        <v>24.5</v>
      </c>
    </row>
    <row r="541" spans="1:7">
      <c r="A541" s="80"/>
      <c r="B541" s="80"/>
      <c r="C541" s="81"/>
      <c r="D541" s="82"/>
      <c r="E541" s="82"/>
      <c r="G541" s="80"/>
    </row>
    <row r="542" spans="1:7">
      <c r="A542" s="80"/>
      <c r="B542" s="80"/>
      <c r="C542" s="81"/>
      <c r="D542" s="82"/>
      <c r="E542" s="82"/>
      <c r="G542" s="80"/>
    </row>
    <row r="543" spans="1:7">
      <c r="A543" s="80"/>
      <c r="B543" s="80"/>
      <c r="C543" s="81"/>
      <c r="D543" s="82"/>
      <c r="E543" s="82"/>
      <c r="G543" s="80"/>
    </row>
    <row r="544" spans="1:7">
      <c r="A544" s="80"/>
      <c r="B544" s="80"/>
      <c r="C544" s="81"/>
      <c r="D544" s="82"/>
      <c r="E544" s="82"/>
      <c r="G544" s="80"/>
    </row>
    <row r="545" spans="1:7">
      <c r="A545" s="80"/>
      <c r="B545" s="80"/>
      <c r="C545" s="81"/>
      <c r="D545" s="82"/>
      <c r="E545" s="82"/>
      <c r="G545" s="80"/>
    </row>
    <row r="546" spans="1:7">
      <c r="A546" s="80"/>
      <c r="B546" s="80"/>
      <c r="C546" s="81"/>
      <c r="D546" s="82"/>
      <c r="E546" s="82"/>
      <c r="G546" s="80"/>
    </row>
    <row r="547" spans="1:7">
      <c r="A547" s="80"/>
      <c r="B547" s="80"/>
      <c r="C547" s="81"/>
      <c r="D547" s="82"/>
      <c r="E547" s="82"/>
      <c r="G547" s="80"/>
    </row>
    <row r="548" spans="1:7">
      <c r="A548" s="80"/>
      <c r="B548" s="80"/>
      <c r="C548" s="81"/>
      <c r="D548" s="82"/>
      <c r="E548" s="82"/>
      <c r="G548" s="80"/>
    </row>
    <row r="549" spans="1:7">
      <c r="A549" s="80"/>
      <c r="B549" s="80"/>
      <c r="C549" s="81"/>
      <c r="D549" s="82"/>
      <c r="E549" s="82"/>
      <c r="G549" s="80"/>
    </row>
    <row r="550" spans="1:7">
      <c r="A550" s="80"/>
      <c r="B550" s="80"/>
      <c r="C550" s="81"/>
      <c r="D550" s="82"/>
      <c r="E550" s="82"/>
      <c r="G550" s="80"/>
    </row>
    <row r="551" spans="1:7">
      <c r="A551" s="80"/>
      <c r="B551" s="80"/>
      <c r="C551" s="81"/>
      <c r="D551" s="82"/>
      <c r="E551" s="82"/>
      <c r="G551" s="80"/>
    </row>
    <row r="552" spans="1:7">
      <c r="A552" s="80"/>
      <c r="B552" s="80"/>
      <c r="C552" s="81"/>
      <c r="D552" s="82"/>
      <c r="E552" s="82"/>
      <c r="G552" s="80"/>
    </row>
    <row r="553" spans="1:7">
      <c r="A553" s="80"/>
      <c r="B553" s="80"/>
      <c r="C553" s="81"/>
      <c r="D553" s="82"/>
      <c r="E553" s="82"/>
      <c r="G553" s="80"/>
    </row>
    <row r="554" spans="1:7">
      <c r="A554" s="80"/>
      <c r="B554" s="80"/>
      <c r="C554" s="81"/>
      <c r="D554" s="82"/>
      <c r="E554" s="82"/>
      <c r="G554" s="80"/>
    </row>
    <row r="555" spans="1:7">
      <c r="A555" s="80"/>
      <c r="B555" s="80"/>
      <c r="C555" s="81"/>
      <c r="D555" s="82"/>
      <c r="E555" s="82"/>
      <c r="G555" s="80"/>
    </row>
    <row r="556" spans="1:7">
      <c r="A556" s="80"/>
      <c r="B556" s="80"/>
      <c r="C556" s="81"/>
      <c r="D556" s="82"/>
      <c r="E556" s="82"/>
      <c r="G556" s="80"/>
    </row>
    <row r="557" spans="1:7">
      <c r="A557" s="80"/>
      <c r="B557" s="80"/>
      <c r="C557" s="81"/>
      <c r="D557" s="82"/>
      <c r="E557" s="82"/>
      <c r="G557" s="80"/>
    </row>
    <row r="558" spans="1:7">
      <c r="A558" s="80"/>
      <c r="B558" s="80"/>
      <c r="C558" s="81"/>
      <c r="D558" s="82"/>
      <c r="E558" s="82"/>
      <c r="G558" s="80"/>
    </row>
    <row r="559" spans="1:7">
      <c r="A559" s="80"/>
      <c r="B559" s="80"/>
      <c r="C559" s="81"/>
      <c r="D559" s="82"/>
      <c r="E559" s="82"/>
      <c r="G559" s="80"/>
    </row>
    <row r="560" spans="1:7">
      <c r="A560" s="80"/>
      <c r="B560" s="80"/>
      <c r="C560" s="81"/>
      <c r="D560" s="82"/>
      <c r="E560" s="82"/>
      <c r="G560" s="80"/>
    </row>
    <row r="561" spans="1:7">
      <c r="A561" s="80"/>
      <c r="B561" s="80"/>
      <c r="C561" s="81"/>
      <c r="D561" s="82"/>
      <c r="E561" s="82"/>
      <c r="G561" s="80"/>
    </row>
    <row r="562" spans="1:7">
      <c r="A562" s="80"/>
      <c r="B562" s="80"/>
      <c r="C562" s="81"/>
      <c r="D562" s="82"/>
      <c r="E562" s="82"/>
      <c r="G562" s="80"/>
    </row>
    <row r="563" spans="1:7">
      <c r="A563" s="80"/>
      <c r="B563" s="80"/>
      <c r="C563" s="81"/>
      <c r="D563" s="82"/>
      <c r="E563" s="82"/>
      <c r="G563" s="80"/>
    </row>
    <row r="564" spans="1:7">
      <c r="A564" s="80"/>
      <c r="B564" s="80"/>
      <c r="C564" s="81"/>
      <c r="D564" s="82"/>
      <c r="E564" s="82"/>
      <c r="G564" s="80"/>
    </row>
    <row r="565" spans="1:7">
      <c r="A565" s="80"/>
      <c r="B565" s="80"/>
      <c r="C565" s="81"/>
      <c r="D565" s="82"/>
      <c r="E565" s="82"/>
      <c r="G565" s="80"/>
    </row>
    <row r="566" spans="1:7">
      <c r="A566" s="80"/>
      <c r="B566" s="80"/>
      <c r="C566" s="81"/>
      <c r="D566" s="82"/>
      <c r="E566" s="82"/>
      <c r="G566" s="80"/>
    </row>
    <row r="567" spans="1:7">
      <c r="A567" s="80"/>
      <c r="B567" s="80"/>
      <c r="C567" s="81"/>
      <c r="D567" s="82"/>
      <c r="E567" s="82"/>
      <c r="G567" s="80"/>
    </row>
    <row r="568" spans="1:7">
      <c r="A568" s="80"/>
      <c r="B568" s="80"/>
      <c r="C568" s="81"/>
      <c r="D568" s="82"/>
      <c r="E568" s="82"/>
      <c r="G568" s="80"/>
    </row>
    <row r="569" spans="1:7">
      <c r="A569" s="80"/>
      <c r="B569" s="80"/>
      <c r="C569" s="81"/>
      <c r="D569" s="82"/>
      <c r="E569" s="82"/>
      <c r="G569" s="80"/>
    </row>
    <row r="570" spans="1:7">
      <c r="A570" s="80"/>
      <c r="B570" s="80"/>
      <c r="C570" s="81"/>
      <c r="D570" s="82"/>
      <c r="E570" s="82"/>
      <c r="G570" s="80"/>
    </row>
    <row r="571" spans="1:7">
      <c r="A571" s="80"/>
      <c r="B571" s="80"/>
      <c r="C571" s="81"/>
      <c r="D571" s="82"/>
      <c r="E571" s="82"/>
      <c r="G571" s="80"/>
    </row>
    <row r="572" spans="1:7">
      <c r="A572" s="80"/>
      <c r="B572" s="80"/>
      <c r="C572" s="81"/>
      <c r="D572" s="82"/>
      <c r="E572" s="82"/>
      <c r="G572" s="80"/>
    </row>
    <row r="573" spans="1:7">
      <c r="A573" s="80"/>
      <c r="B573" s="80"/>
      <c r="C573" s="81"/>
      <c r="D573" s="82"/>
      <c r="E573" s="82"/>
      <c r="G573" s="80"/>
    </row>
    <row r="574" spans="1:7">
      <c r="A574" s="80"/>
      <c r="B574" s="80"/>
      <c r="C574" s="81"/>
      <c r="D574" s="82"/>
      <c r="E574" s="82"/>
      <c r="G574" s="80"/>
    </row>
    <row r="575" spans="1:7">
      <c r="A575" s="80"/>
      <c r="B575" s="80"/>
      <c r="C575" s="81"/>
      <c r="D575" s="82"/>
      <c r="E575" s="82"/>
      <c r="G575" s="80"/>
    </row>
    <row r="576" spans="1:7">
      <c r="A576" s="80"/>
      <c r="B576" s="80"/>
      <c r="C576" s="81"/>
      <c r="D576" s="82"/>
      <c r="E576" s="82"/>
      <c r="G576" s="80"/>
    </row>
    <row r="577" spans="1:7">
      <c r="A577" s="80"/>
      <c r="B577" s="80"/>
      <c r="C577" s="81"/>
      <c r="D577" s="82"/>
      <c r="E577" s="82"/>
      <c r="G577" s="80"/>
    </row>
    <row r="578" spans="1:7">
      <c r="A578" s="80"/>
      <c r="B578" s="80"/>
      <c r="C578" s="81"/>
      <c r="D578" s="82"/>
      <c r="E578" s="82"/>
      <c r="G578" s="80"/>
    </row>
    <row r="579" spans="1:7">
      <c r="A579" s="80"/>
      <c r="B579" s="80"/>
      <c r="C579" s="81"/>
      <c r="D579" s="82"/>
      <c r="E579" s="82"/>
      <c r="G579" s="80"/>
    </row>
    <row r="580" spans="1:7">
      <c r="A580" s="80"/>
      <c r="B580" s="80"/>
      <c r="C580" s="81"/>
      <c r="D580" s="82"/>
      <c r="E580" s="82"/>
      <c r="G580" s="80"/>
    </row>
    <row r="581" spans="1:7">
      <c r="A581" s="80"/>
      <c r="B581" s="80"/>
      <c r="C581" s="81"/>
      <c r="D581" s="82"/>
      <c r="E581" s="82"/>
      <c r="G581" s="80"/>
    </row>
    <row r="582" spans="1:7">
      <c r="A582" s="80"/>
      <c r="B582" s="80"/>
      <c r="C582" s="81"/>
      <c r="D582" s="82"/>
      <c r="E582" s="82"/>
      <c r="G582" s="80"/>
    </row>
    <row r="583" spans="1:7">
      <c r="A583" s="80"/>
      <c r="B583" s="80"/>
      <c r="C583" s="81"/>
      <c r="D583" s="82"/>
      <c r="E583" s="82"/>
      <c r="G583" s="80"/>
    </row>
    <row r="584" spans="1:7">
      <c r="A584" s="80"/>
      <c r="B584" s="80"/>
      <c r="C584" s="81"/>
      <c r="D584" s="82"/>
      <c r="E584" s="82"/>
      <c r="G584" s="80"/>
    </row>
    <row r="585" spans="1:7">
      <c r="A585" s="80"/>
      <c r="B585" s="80"/>
      <c r="C585" s="81"/>
      <c r="D585" s="82"/>
      <c r="E585" s="82"/>
      <c r="G585" s="80"/>
    </row>
    <row r="586" spans="1:7">
      <c r="A586" s="80"/>
      <c r="B586" s="80"/>
      <c r="C586" s="81"/>
      <c r="D586" s="82"/>
      <c r="E586" s="82"/>
      <c r="G586" s="80"/>
    </row>
    <row r="587" spans="1:7">
      <c r="A587" s="80"/>
      <c r="B587" s="80"/>
      <c r="C587" s="81"/>
      <c r="D587" s="82"/>
      <c r="E587" s="82"/>
      <c r="G587" s="80"/>
    </row>
    <row r="588" spans="1:7">
      <c r="A588" s="80"/>
      <c r="B588" s="80"/>
      <c r="C588" s="81"/>
      <c r="D588" s="82"/>
      <c r="E588" s="82"/>
      <c r="G588" s="80"/>
    </row>
    <row r="589" spans="1:7">
      <c r="A589" s="80"/>
      <c r="B589" s="80"/>
      <c r="C589" s="81"/>
      <c r="D589" s="82"/>
      <c r="E589" s="82"/>
      <c r="G589" s="80"/>
    </row>
    <row r="590" spans="1:7">
      <c r="A590" s="80"/>
      <c r="B590" s="80"/>
      <c r="C590" s="81"/>
      <c r="D590" s="82"/>
      <c r="E590" s="82"/>
      <c r="G590" s="80"/>
    </row>
    <row r="591" spans="1:7">
      <c r="A591" s="80"/>
      <c r="B591" s="80"/>
      <c r="C591" s="81"/>
      <c r="D591" s="82"/>
      <c r="E591" s="82"/>
      <c r="G591" s="80"/>
    </row>
    <row r="592" spans="1:7">
      <c r="A592" s="80"/>
      <c r="B592" s="80"/>
      <c r="C592" s="81"/>
      <c r="D592" s="82"/>
      <c r="E592" s="82"/>
      <c r="G592" s="80"/>
    </row>
    <row r="593" spans="1:7">
      <c r="A593" s="80"/>
      <c r="B593" s="80"/>
      <c r="C593" s="81"/>
      <c r="D593" s="82"/>
      <c r="E593" s="82"/>
      <c r="G593" s="80"/>
    </row>
    <row r="594" spans="1:7">
      <c r="A594" s="80"/>
      <c r="B594" s="80"/>
      <c r="C594" s="81"/>
      <c r="D594" s="82"/>
      <c r="E594" s="82"/>
      <c r="G594" s="80"/>
    </row>
    <row r="595" spans="1:7">
      <c r="A595" s="80"/>
      <c r="B595" s="80"/>
      <c r="C595" s="81"/>
      <c r="D595" s="82"/>
      <c r="E595" s="82"/>
      <c r="G595" s="80"/>
    </row>
    <row r="596" spans="1:7">
      <c r="A596" s="80"/>
      <c r="B596" s="80"/>
      <c r="C596" s="81"/>
      <c r="D596" s="82"/>
      <c r="E596" s="82"/>
      <c r="G596" s="80"/>
    </row>
    <row r="597" spans="1:7">
      <c r="A597" s="80"/>
      <c r="B597" s="80"/>
      <c r="C597" s="81"/>
      <c r="D597" s="82"/>
      <c r="E597" s="82"/>
      <c r="G597" s="80"/>
    </row>
    <row r="598" spans="1:7">
      <c r="A598" s="80"/>
      <c r="B598" s="80"/>
      <c r="C598" s="81"/>
      <c r="D598" s="82"/>
      <c r="E598" s="82"/>
      <c r="G598" s="80"/>
    </row>
    <row r="599" spans="1:7">
      <c r="A599" s="80"/>
      <c r="B599" s="80"/>
      <c r="C599" s="81"/>
      <c r="D599" s="82"/>
      <c r="E599" s="82"/>
      <c r="G599" s="80"/>
    </row>
    <row r="600" spans="1:7">
      <c r="A600" s="80"/>
      <c r="B600" s="80"/>
      <c r="C600" s="81"/>
      <c r="D600" s="82"/>
      <c r="E600" s="82"/>
      <c r="G600" s="80"/>
    </row>
    <row r="601" spans="1:7">
      <c r="A601" s="80"/>
      <c r="B601" s="80"/>
      <c r="C601" s="81"/>
      <c r="D601" s="82"/>
      <c r="E601" s="82"/>
      <c r="G601" s="80"/>
    </row>
    <row r="602" spans="1:7">
      <c r="A602" s="80"/>
      <c r="B602" s="80"/>
      <c r="C602" s="81"/>
      <c r="D602" s="82"/>
      <c r="E602" s="82"/>
      <c r="G602" s="80"/>
    </row>
    <row r="603" spans="1:7">
      <c r="A603" s="80"/>
      <c r="B603" s="80"/>
      <c r="C603" s="81"/>
      <c r="D603" s="82"/>
      <c r="E603" s="82"/>
      <c r="G603" s="80"/>
    </row>
    <row r="604" spans="1:7">
      <c r="A604" s="80"/>
      <c r="B604" s="80"/>
      <c r="C604" s="81"/>
      <c r="D604" s="82"/>
      <c r="E604" s="82"/>
      <c r="G604" s="80"/>
    </row>
    <row r="605" spans="1:7">
      <c r="A605" s="80"/>
      <c r="B605" s="80"/>
      <c r="C605" s="81"/>
      <c r="D605" s="82"/>
      <c r="E605" s="82"/>
      <c r="G605" s="80"/>
    </row>
    <row r="606" spans="1:7">
      <c r="A606" s="80"/>
      <c r="B606" s="80"/>
      <c r="C606" s="81"/>
      <c r="D606" s="82"/>
      <c r="E606" s="82"/>
      <c r="G606" s="80"/>
    </row>
    <row r="607" spans="1:7">
      <c r="A607" s="80"/>
      <c r="B607" s="80"/>
      <c r="C607" s="81"/>
      <c r="D607" s="82"/>
      <c r="E607" s="82"/>
      <c r="G607" s="80"/>
    </row>
    <row r="608" spans="1:7">
      <c r="A608" s="80"/>
      <c r="B608" s="80"/>
      <c r="C608" s="81"/>
      <c r="D608" s="82"/>
      <c r="E608" s="82"/>
      <c r="G608" s="80"/>
    </row>
    <row r="609" spans="1:7">
      <c r="A609" s="80"/>
      <c r="B609" s="80"/>
      <c r="C609" s="81"/>
      <c r="D609" s="82"/>
      <c r="E609" s="82"/>
      <c r="G609" s="80"/>
    </row>
    <row r="610" spans="1:7">
      <c r="A610" s="80"/>
      <c r="B610" s="80"/>
      <c r="C610" s="81"/>
      <c r="D610" s="82"/>
      <c r="E610" s="82"/>
      <c r="G610" s="80"/>
    </row>
    <row r="611" spans="1:7">
      <c r="A611" s="80"/>
      <c r="B611" s="80"/>
      <c r="C611" s="81"/>
      <c r="D611" s="82"/>
      <c r="E611" s="82"/>
      <c r="G611" s="80"/>
    </row>
    <row r="612" spans="1:7">
      <c r="A612" s="80"/>
      <c r="B612" s="80"/>
      <c r="C612" s="81"/>
      <c r="D612" s="82"/>
      <c r="E612" s="82"/>
      <c r="G612" s="80"/>
    </row>
    <row r="613" spans="1:7">
      <c r="A613" s="80"/>
      <c r="B613" s="80"/>
      <c r="C613" s="81"/>
      <c r="D613" s="82"/>
      <c r="E613" s="82"/>
      <c r="G613" s="80"/>
    </row>
    <row r="614" spans="1:7">
      <c r="A614" s="80"/>
      <c r="B614" s="80"/>
      <c r="C614" s="81"/>
      <c r="D614" s="82"/>
      <c r="E614" s="82"/>
      <c r="G614" s="80"/>
    </row>
    <row r="615" spans="1:7">
      <c r="A615" s="80"/>
      <c r="B615" s="80"/>
      <c r="C615" s="81"/>
      <c r="D615" s="82"/>
      <c r="E615" s="82"/>
      <c r="G615" s="80"/>
    </row>
    <row r="616" spans="1:7">
      <c r="A616" s="80"/>
      <c r="B616" s="80"/>
      <c r="C616" s="81"/>
      <c r="D616" s="82"/>
      <c r="E616" s="82"/>
      <c r="G616" s="80"/>
    </row>
    <row r="617" spans="1:7">
      <c r="A617" s="80"/>
      <c r="B617" s="80"/>
      <c r="C617" s="81"/>
      <c r="D617" s="82"/>
      <c r="E617" s="82"/>
      <c r="G617" s="80"/>
    </row>
    <row r="618" spans="1:7">
      <c r="A618" s="80"/>
      <c r="B618" s="80"/>
      <c r="C618" s="81"/>
      <c r="D618" s="82"/>
      <c r="E618" s="82"/>
      <c r="G618" s="80"/>
    </row>
    <row r="619" spans="1:7">
      <c r="A619" s="80"/>
      <c r="B619" s="80"/>
      <c r="C619" s="81"/>
      <c r="D619" s="82"/>
      <c r="E619" s="82"/>
      <c r="G619" s="80"/>
    </row>
    <row r="620" spans="1:7">
      <c r="A620" s="80"/>
      <c r="B620" s="80"/>
      <c r="C620" s="81"/>
      <c r="D620" s="82"/>
      <c r="E620" s="82"/>
      <c r="G620" s="80"/>
    </row>
    <row r="621" spans="1:7">
      <c r="A621" s="80"/>
      <c r="B621" s="80"/>
      <c r="C621" s="81"/>
      <c r="D621" s="82"/>
      <c r="E621" s="82"/>
      <c r="G621" s="80"/>
    </row>
    <row r="622" spans="1:7">
      <c r="A622" s="80"/>
      <c r="B622" s="80"/>
      <c r="C622" s="81"/>
      <c r="D622" s="82"/>
      <c r="E622" s="82"/>
      <c r="G622" s="80"/>
    </row>
    <row r="623" spans="1:7">
      <c r="A623" s="80"/>
      <c r="B623" s="80"/>
      <c r="C623" s="81"/>
      <c r="D623" s="82"/>
      <c r="E623" s="82"/>
      <c r="G623" s="80"/>
    </row>
    <row r="624" spans="1:7">
      <c r="A624" s="80"/>
      <c r="B624" s="80"/>
      <c r="C624" s="81"/>
      <c r="D624" s="82"/>
      <c r="E624" s="82"/>
      <c r="G624" s="80"/>
    </row>
    <row r="625" spans="1:7">
      <c r="A625" s="80"/>
      <c r="B625" s="80"/>
      <c r="C625" s="81"/>
      <c r="D625" s="82"/>
      <c r="E625" s="82"/>
      <c r="G625" s="80"/>
    </row>
    <row r="626" spans="1:7">
      <c r="A626" s="80"/>
      <c r="B626" s="80"/>
      <c r="C626" s="81"/>
      <c r="D626" s="82"/>
      <c r="E626" s="82"/>
      <c r="G626" s="80"/>
    </row>
    <row r="627" spans="1:7">
      <c r="A627" s="80"/>
      <c r="B627" s="80"/>
      <c r="C627" s="81"/>
      <c r="D627" s="82"/>
      <c r="E627" s="82"/>
      <c r="G627" s="80"/>
    </row>
    <row r="628" spans="1:7">
      <c r="A628" s="80"/>
      <c r="B628" s="80"/>
      <c r="C628" s="81"/>
      <c r="D628" s="82"/>
      <c r="E628" s="82"/>
      <c r="G628" s="80"/>
    </row>
    <row r="629" spans="1:7">
      <c r="A629" s="80"/>
      <c r="B629" s="80"/>
      <c r="C629" s="81"/>
      <c r="D629" s="82"/>
      <c r="E629" s="82"/>
      <c r="G629" s="80"/>
    </row>
    <row r="630" spans="1:7">
      <c r="A630" s="80"/>
      <c r="B630" s="80"/>
      <c r="C630" s="81"/>
      <c r="D630" s="82"/>
      <c r="E630" s="82"/>
      <c r="G630" s="80"/>
    </row>
    <row r="631" spans="1:7">
      <c r="A631" s="80"/>
      <c r="B631" s="80"/>
      <c r="C631" s="81"/>
      <c r="D631" s="82"/>
      <c r="E631" s="82"/>
      <c r="G631" s="80"/>
    </row>
    <row r="632" spans="1:7">
      <c r="A632" s="80"/>
      <c r="B632" s="80"/>
      <c r="C632" s="81"/>
      <c r="D632" s="82"/>
      <c r="E632" s="82"/>
      <c r="G632" s="80"/>
    </row>
    <row r="633" spans="1:7">
      <c r="A633" s="80"/>
      <c r="B633" s="80"/>
      <c r="C633" s="81"/>
      <c r="D633" s="82"/>
      <c r="E633" s="82"/>
      <c r="G633" s="80"/>
    </row>
    <row r="634" spans="1:7">
      <c r="A634" s="80"/>
      <c r="B634" s="80"/>
      <c r="C634" s="81"/>
      <c r="D634" s="82"/>
      <c r="E634" s="82"/>
      <c r="G634" s="80"/>
    </row>
    <row r="635" spans="1:7">
      <c r="A635" s="80"/>
      <c r="B635" s="80"/>
      <c r="C635" s="81"/>
      <c r="D635" s="82"/>
      <c r="E635" s="82"/>
      <c r="G635" s="80"/>
    </row>
    <row r="636" spans="1:7">
      <c r="A636" s="80"/>
      <c r="B636" s="80"/>
      <c r="C636" s="81"/>
      <c r="D636" s="82"/>
      <c r="E636" s="82"/>
      <c r="G636" s="80"/>
    </row>
    <row r="637" spans="1:7">
      <c r="A637" s="80"/>
      <c r="B637" s="80"/>
      <c r="C637" s="81"/>
      <c r="D637" s="82"/>
      <c r="E637" s="82"/>
      <c r="G637" s="80"/>
    </row>
    <row r="638" spans="1:7">
      <c r="A638" s="80"/>
      <c r="B638" s="80"/>
      <c r="C638" s="81"/>
      <c r="D638" s="82"/>
      <c r="E638" s="82"/>
      <c r="G638" s="80"/>
    </row>
    <row r="639" spans="1:7">
      <c r="A639" s="80"/>
      <c r="B639" s="80"/>
      <c r="C639" s="81"/>
      <c r="D639" s="82"/>
      <c r="E639" s="82"/>
      <c r="G639" s="80"/>
    </row>
    <row r="640" spans="1:7">
      <c r="A640" s="80"/>
      <c r="B640" s="80"/>
      <c r="C640" s="81"/>
      <c r="D640" s="82"/>
      <c r="E640" s="82"/>
      <c r="G640" s="80"/>
    </row>
    <row r="641" spans="1:7">
      <c r="A641" s="80"/>
      <c r="B641" s="80"/>
      <c r="C641" s="81"/>
      <c r="D641" s="82"/>
      <c r="E641" s="82"/>
      <c r="G641" s="80"/>
    </row>
    <row r="642" spans="1:7">
      <c r="A642" s="80"/>
      <c r="B642" s="80"/>
      <c r="C642" s="81"/>
      <c r="D642" s="82"/>
      <c r="E642" s="82"/>
      <c r="G642" s="80"/>
    </row>
    <row r="643" spans="1:7">
      <c r="A643" s="80"/>
      <c r="B643" s="80"/>
      <c r="C643" s="81"/>
      <c r="D643" s="82"/>
      <c r="E643" s="82"/>
      <c r="G643" s="80"/>
    </row>
    <row r="644" spans="1:7">
      <c r="A644" s="80"/>
      <c r="B644" s="80"/>
      <c r="C644" s="81"/>
      <c r="D644" s="82"/>
      <c r="E644" s="82"/>
      <c r="G644" s="80"/>
    </row>
    <row r="645" spans="1:7">
      <c r="A645" s="80"/>
      <c r="B645" s="80"/>
      <c r="C645" s="81"/>
      <c r="D645" s="82"/>
      <c r="E645" s="82"/>
      <c r="G645" s="80"/>
    </row>
    <row r="646" spans="1:7">
      <c r="A646" s="80"/>
      <c r="B646" s="80"/>
      <c r="C646" s="81"/>
      <c r="D646" s="82"/>
      <c r="E646" s="82"/>
      <c r="G646" s="80"/>
    </row>
    <row r="647" spans="1:7">
      <c r="A647" s="80"/>
      <c r="B647" s="80"/>
      <c r="C647" s="81"/>
      <c r="D647" s="82"/>
      <c r="E647" s="82"/>
      <c r="G647" s="80"/>
    </row>
    <row r="648" spans="1:7">
      <c r="A648" s="80"/>
      <c r="B648" s="80"/>
      <c r="C648" s="81"/>
      <c r="D648" s="82"/>
      <c r="E648" s="82"/>
      <c r="G648" s="80"/>
    </row>
    <row r="649" spans="1:7">
      <c r="A649" s="80"/>
      <c r="B649" s="80"/>
      <c r="C649" s="81"/>
      <c r="D649" s="82"/>
      <c r="E649" s="82"/>
      <c r="G649" s="80"/>
    </row>
    <row r="650" spans="1:7">
      <c r="A650" s="80"/>
      <c r="B650" s="80"/>
      <c r="C650" s="81"/>
      <c r="D650" s="82"/>
      <c r="E650" s="82"/>
      <c r="G650" s="80"/>
    </row>
    <row r="651" spans="1:7">
      <c r="A651" s="80"/>
      <c r="B651" s="80"/>
      <c r="C651" s="81"/>
      <c r="D651" s="82"/>
      <c r="E651" s="82"/>
      <c r="G651" s="80"/>
    </row>
    <row r="652" spans="1:7">
      <c r="A652" s="80"/>
      <c r="B652" s="80"/>
      <c r="C652" s="81"/>
      <c r="D652" s="82"/>
      <c r="E652" s="82"/>
      <c r="G652" s="80"/>
    </row>
    <row r="653" spans="1:7">
      <c r="A653" s="80"/>
      <c r="B653" s="80"/>
      <c r="C653" s="81"/>
      <c r="D653" s="82"/>
      <c r="E653" s="82"/>
      <c r="G653" s="80"/>
    </row>
    <row r="654" spans="1:7">
      <c r="A654" s="80"/>
      <c r="B654" s="80"/>
      <c r="C654" s="81"/>
      <c r="D654" s="82"/>
      <c r="E654" s="82"/>
      <c r="G654" s="80"/>
    </row>
    <row r="655" spans="1:7">
      <c r="A655" s="80"/>
      <c r="B655" s="80"/>
      <c r="C655" s="81"/>
      <c r="D655" s="82"/>
      <c r="E655" s="82"/>
      <c r="G655" s="80"/>
    </row>
    <row r="656" spans="1:7">
      <c r="A656" s="80"/>
      <c r="B656" s="80"/>
      <c r="C656" s="81"/>
      <c r="D656" s="82"/>
      <c r="E656" s="82"/>
      <c r="G656" s="80"/>
    </row>
    <row r="657" spans="1:7">
      <c r="A657" s="80"/>
      <c r="B657" s="80"/>
      <c r="C657" s="81"/>
      <c r="D657" s="82"/>
      <c r="E657" s="82"/>
      <c r="G657" s="80"/>
    </row>
    <row r="658" spans="1:7">
      <c r="A658" s="80"/>
      <c r="B658" s="80"/>
      <c r="C658" s="81"/>
      <c r="D658" s="82"/>
      <c r="E658" s="82"/>
      <c r="G658" s="80"/>
    </row>
    <row r="659" spans="1:7">
      <c r="A659" s="80"/>
      <c r="B659" s="80"/>
      <c r="C659" s="81"/>
      <c r="D659" s="82"/>
      <c r="E659" s="82"/>
      <c r="G659" s="80"/>
    </row>
    <row r="660" spans="1:7">
      <c r="A660" s="80"/>
      <c r="B660" s="80"/>
      <c r="C660" s="81"/>
      <c r="D660" s="82"/>
      <c r="E660" s="82"/>
      <c r="G660" s="80"/>
    </row>
    <row r="661" spans="1:7">
      <c r="A661" s="80"/>
      <c r="B661" s="80"/>
      <c r="C661" s="81"/>
      <c r="D661" s="82"/>
      <c r="E661" s="82"/>
      <c r="G661" s="80"/>
    </row>
    <row r="662" spans="1:7">
      <c r="A662" s="80"/>
      <c r="B662" s="80"/>
      <c r="C662" s="81"/>
      <c r="D662" s="82"/>
      <c r="E662" s="82"/>
      <c r="G662" s="80"/>
    </row>
    <row r="663" spans="1:7">
      <c r="A663" s="80"/>
      <c r="B663" s="80"/>
      <c r="C663" s="81"/>
      <c r="D663" s="82"/>
      <c r="E663" s="82"/>
      <c r="G663" s="80"/>
    </row>
    <row r="664" spans="1:7">
      <c r="A664" s="80"/>
      <c r="B664" s="80"/>
      <c r="C664" s="81"/>
      <c r="D664" s="82"/>
      <c r="E664" s="82"/>
      <c r="G664" s="80"/>
    </row>
    <row r="665" spans="1:7">
      <c r="A665" s="80"/>
      <c r="B665" s="80"/>
      <c r="C665" s="81"/>
      <c r="D665" s="82"/>
      <c r="E665" s="82"/>
      <c r="G665" s="80"/>
    </row>
    <row r="666" spans="1:7">
      <c r="A666" s="80"/>
      <c r="B666" s="80"/>
      <c r="C666" s="81"/>
      <c r="D666" s="82"/>
      <c r="E666" s="82"/>
      <c r="G666" s="80"/>
    </row>
    <row r="667" spans="1:7">
      <c r="A667" s="80"/>
      <c r="B667" s="80"/>
      <c r="C667" s="81"/>
      <c r="D667" s="82"/>
      <c r="E667" s="82"/>
      <c r="G667" s="80"/>
    </row>
    <row r="668" spans="1:7">
      <c r="A668" s="80"/>
      <c r="B668" s="80"/>
      <c r="C668" s="81"/>
      <c r="D668" s="82"/>
      <c r="E668" s="82"/>
      <c r="G668" s="80"/>
    </row>
    <row r="669" spans="1:7">
      <c r="A669" s="80"/>
      <c r="B669" s="80"/>
      <c r="C669" s="81"/>
      <c r="D669" s="82"/>
      <c r="E669" s="82"/>
      <c r="G669" s="80"/>
    </row>
    <row r="670" spans="1:7">
      <c r="A670" s="80"/>
      <c r="B670" s="80"/>
      <c r="C670" s="81"/>
      <c r="D670" s="82"/>
      <c r="E670" s="82"/>
      <c r="G670" s="80"/>
    </row>
    <row r="671" spans="1:7">
      <c r="A671" s="80"/>
      <c r="B671" s="80"/>
      <c r="C671" s="81"/>
      <c r="D671" s="82"/>
      <c r="E671" s="82"/>
      <c r="G671" s="80"/>
    </row>
    <row r="672" spans="1:7">
      <c r="A672" s="80"/>
      <c r="B672" s="80"/>
      <c r="C672" s="81"/>
      <c r="D672" s="82"/>
      <c r="E672" s="82"/>
      <c r="G672" s="80"/>
    </row>
    <row r="673" spans="1:7">
      <c r="A673" s="80"/>
      <c r="B673" s="80"/>
      <c r="C673" s="81"/>
      <c r="D673" s="82"/>
      <c r="E673" s="82"/>
      <c r="G673" s="80"/>
    </row>
    <row r="674" spans="1:7">
      <c r="A674" s="80"/>
      <c r="B674" s="80"/>
      <c r="C674" s="81"/>
      <c r="D674" s="82"/>
      <c r="E674" s="82"/>
      <c r="G674" s="80"/>
    </row>
    <row r="675" spans="1:7">
      <c r="A675" s="80"/>
      <c r="B675" s="80"/>
      <c r="C675" s="81"/>
      <c r="D675" s="82"/>
      <c r="E675" s="82"/>
      <c r="G675" s="80"/>
    </row>
    <row r="676" spans="1:7">
      <c r="A676" s="80"/>
      <c r="B676" s="80"/>
      <c r="C676" s="81"/>
      <c r="D676" s="82"/>
      <c r="E676" s="82"/>
      <c r="G676" s="80"/>
    </row>
    <row r="677" spans="1:7">
      <c r="A677" s="80"/>
      <c r="B677" s="80"/>
      <c r="C677" s="81"/>
      <c r="D677" s="82"/>
      <c r="E677" s="82"/>
      <c r="G677" s="80"/>
    </row>
    <row r="678" spans="1:7">
      <c r="A678" s="80"/>
      <c r="B678" s="80"/>
      <c r="C678" s="81"/>
      <c r="D678" s="82"/>
      <c r="E678" s="82"/>
      <c r="G678" s="80"/>
    </row>
    <row r="679" spans="1:7">
      <c r="A679" s="80"/>
      <c r="B679" s="80"/>
      <c r="C679" s="81"/>
      <c r="D679" s="82"/>
      <c r="E679" s="82"/>
      <c r="G679" s="80"/>
    </row>
    <row r="680" spans="1:7">
      <c r="A680" s="80"/>
      <c r="B680" s="80"/>
      <c r="C680" s="81"/>
      <c r="D680" s="82"/>
      <c r="E680" s="82"/>
      <c r="G680" s="80"/>
    </row>
    <row r="681" spans="1:7">
      <c r="A681" s="80"/>
      <c r="B681" s="80"/>
      <c r="C681" s="81"/>
      <c r="D681" s="82"/>
      <c r="E681" s="82"/>
      <c r="G681" s="80"/>
    </row>
    <row r="682" spans="1:7">
      <c r="A682" s="80"/>
      <c r="B682" s="80"/>
      <c r="C682" s="81"/>
      <c r="D682" s="82"/>
      <c r="E682" s="82"/>
      <c r="G682" s="80"/>
    </row>
    <row r="683" spans="1:7">
      <c r="A683" s="80"/>
      <c r="B683" s="80"/>
      <c r="C683" s="81"/>
      <c r="D683" s="82"/>
      <c r="E683" s="82"/>
      <c r="G683" s="80"/>
    </row>
    <row r="684" spans="1:7">
      <c r="A684" s="80"/>
      <c r="B684" s="80"/>
      <c r="C684" s="81"/>
      <c r="D684" s="82"/>
      <c r="E684" s="82"/>
      <c r="G684" s="80"/>
    </row>
    <row r="685" spans="1:7">
      <c r="A685" s="80"/>
      <c r="B685" s="80"/>
      <c r="C685" s="81"/>
      <c r="D685" s="82"/>
      <c r="E685" s="82"/>
      <c r="G685" s="80"/>
    </row>
    <row r="686" spans="1:7">
      <c r="A686" s="80"/>
      <c r="B686" s="80"/>
      <c r="C686" s="81"/>
      <c r="D686" s="82"/>
      <c r="E686" s="82"/>
      <c r="G686" s="80"/>
    </row>
    <row r="687" spans="1:7">
      <c r="A687" s="80"/>
      <c r="B687" s="80"/>
      <c r="C687" s="81"/>
      <c r="D687" s="82"/>
      <c r="E687" s="82"/>
      <c r="G687" s="80"/>
    </row>
    <row r="688" spans="1:7">
      <c r="A688" s="80"/>
      <c r="B688" s="80"/>
      <c r="C688" s="81"/>
      <c r="D688" s="82"/>
      <c r="E688" s="82"/>
      <c r="G688" s="80"/>
    </row>
    <row r="689" spans="1:7">
      <c r="A689" s="80"/>
      <c r="B689" s="80"/>
      <c r="C689" s="81"/>
      <c r="D689" s="82"/>
      <c r="E689" s="82"/>
      <c r="G689" s="80"/>
    </row>
    <row r="690" spans="1:7">
      <c r="A690" s="80"/>
      <c r="B690" s="80"/>
      <c r="C690" s="81"/>
      <c r="D690" s="82"/>
      <c r="E690" s="82"/>
      <c r="G690" s="80"/>
    </row>
    <row r="691" spans="1:7">
      <c r="A691" s="80"/>
      <c r="B691" s="80"/>
      <c r="C691" s="81"/>
      <c r="D691" s="82"/>
      <c r="E691" s="82"/>
      <c r="G691" s="80"/>
    </row>
    <row r="692" spans="1:7">
      <c r="A692" s="80"/>
      <c r="B692" s="80"/>
      <c r="C692" s="81"/>
      <c r="D692" s="82"/>
      <c r="E692" s="82"/>
      <c r="G692" s="80"/>
    </row>
    <row r="693" spans="1:7">
      <c r="A693" s="80"/>
      <c r="B693" s="80"/>
      <c r="C693" s="81"/>
      <c r="D693" s="82"/>
      <c r="E693" s="82"/>
      <c r="G693" s="80"/>
    </row>
    <row r="694" spans="1:7">
      <c r="A694" s="80"/>
      <c r="B694" s="80"/>
      <c r="C694" s="81"/>
      <c r="D694" s="82"/>
      <c r="E694" s="82"/>
      <c r="G694" s="80"/>
    </row>
    <row r="695" spans="1:7">
      <c r="A695" s="80"/>
      <c r="B695" s="80"/>
      <c r="C695" s="81"/>
      <c r="D695" s="82"/>
      <c r="E695" s="82"/>
      <c r="G695" s="80"/>
    </row>
    <row r="696" spans="1:7">
      <c r="A696" s="80"/>
      <c r="B696" s="80"/>
      <c r="C696" s="81"/>
      <c r="D696" s="82"/>
      <c r="E696" s="82"/>
      <c r="G696" s="80"/>
    </row>
    <row r="697" spans="1:7">
      <c r="A697" s="80"/>
      <c r="B697" s="80"/>
      <c r="C697" s="81"/>
      <c r="D697" s="82"/>
      <c r="E697" s="82"/>
      <c r="G697" s="80"/>
    </row>
    <row r="698" spans="1:7">
      <c r="A698" s="80"/>
      <c r="B698" s="80"/>
      <c r="C698" s="81"/>
      <c r="D698" s="82"/>
      <c r="E698" s="82"/>
      <c r="G698" s="80"/>
    </row>
    <row r="699" spans="1:7">
      <c r="A699" s="80"/>
      <c r="B699" s="80"/>
      <c r="C699" s="81"/>
      <c r="D699" s="82"/>
      <c r="E699" s="82"/>
      <c r="G699" s="80"/>
    </row>
    <row r="700" spans="1:7">
      <c r="A700" s="80"/>
      <c r="B700" s="80"/>
      <c r="C700" s="81"/>
      <c r="D700" s="82"/>
      <c r="E700" s="82"/>
      <c r="G700" s="80"/>
    </row>
    <row r="701" spans="1:7">
      <c r="A701" s="80"/>
      <c r="B701" s="80"/>
      <c r="C701" s="81"/>
      <c r="D701" s="82"/>
      <c r="E701" s="82"/>
      <c r="G701" s="80"/>
    </row>
    <row r="702" spans="1:7">
      <c r="A702" s="80"/>
      <c r="B702" s="80"/>
      <c r="C702" s="81"/>
      <c r="D702" s="82"/>
      <c r="E702" s="82"/>
      <c r="G702" s="80"/>
    </row>
    <row r="703" spans="1:7">
      <c r="A703" s="80"/>
      <c r="B703" s="80"/>
      <c r="C703" s="81"/>
      <c r="D703" s="82"/>
      <c r="E703" s="82"/>
      <c r="G703" s="80"/>
    </row>
    <row r="704" spans="1:7">
      <c r="A704" s="80"/>
      <c r="B704" s="80"/>
      <c r="C704" s="81"/>
      <c r="D704" s="82"/>
      <c r="E704" s="82"/>
      <c r="G704" s="80"/>
    </row>
    <row r="705" spans="1:7">
      <c r="A705" s="80"/>
      <c r="B705" s="80"/>
      <c r="C705" s="81"/>
      <c r="D705" s="82"/>
      <c r="E705" s="82"/>
      <c r="G705" s="80"/>
    </row>
    <row r="706" spans="1:7">
      <c r="A706" s="80"/>
      <c r="B706" s="80"/>
      <c r="C706" s="81"/>
      <c r="D706" s="82"/>
      <c r="E706" s="82"/>
      <c r="G706" s="80"/>
    </row>
    <row r="707" spans="1:7">
      <c r="A707" s="80"/>
      <c r="B707" s="80"/>
      <c r="C707" s="81"/>
      <c r="D707" s="82"/>
      <c r="E707" s="82"/>
      <c r="G707" s="80"/>
    </row>
    <row r="708" spans="1:7">
      <c r="A708" s="80"/>
      <c r="B708" s="80"/>
      <c r="C708" s="81"/>
      <c r="D708" s="82"/>
      <c r="E708" s="82"/>
      <c r="G708" s="80"/>
    </row>
    <row r="709" spans="1:7">
      <c r="A709" s="80"/>
      <c r="B709" s="80"/>
      <c r="C709" s="81"/>
      <c r="D709" s="82"/>
      <c r="E709" s="82"/>
      <c r="G709" s="80"/>
    </row>
    <row r="710" spans="1:7">
      <c r="A710" s="80"/>
      <c r="B710" s="80"/>
      <c r="C710" s="81"/>
      <c r="D710" s="82"/>
      <c r="E710" s="82"/>
      <c r="G710" s="80"/>
    </row>
    <row r="711" spans="1:7">
      <c r="A711" s="80"/>
      <c r="B711" s="80"/>
      <c r="C711" s="81"/>
      <c r="D711" s="82"/>
      <c r="E711" s="82"/>
      <c r="G711" s="80"/>
    </row>
    <row r="712" spans="1:7">
      <c r="A712" s="80"/>
      <c r="B712" s="80"/>
      <c r="C712" s="81"/>
      <c r="D712" s="82"/>
      <c r="E712" s="82"/>
      <c r="G712" s="80"/>
    </row>
    <row r="713" spans="1:7">
      <c r="A713" s="80"/>
      <c r="B713" s="80"/>
      <c r="C713" s="81"/>
      <c r="D713" s="82"/>
      <c r="E713" s="82"/>
      <c r="G713" s="80"/>
    </row>
    <row r="714" spans="1:7">
      <c r="A714" s="80"/>
      <c r="B714" s="80"/>
      <c r="C714" s="81"/>
      <c r="D714" s="82"/>
      <c r="E714" s="82"/>
      <c r="G714" s="80"/>
    </row>
    <row r="715" spans="1:7">
      <c r="A715" s="80"/>
      <c r="B715" s="80"/>
      <c r="C715" s="81"/>
      <c r="D715" s="82"/>
      <c r="E715" s="82"/>
      <c r="G715" s="80"/>
    </row>
    <row r="716" spans="1:7">
      <c r="A716" s="80"/>
      <c r="B716" s="80"/>
      <c r="C716" s="81"/>
      <c r="D716" s="82"/>
      <c r="E716" s="82"/>
      <c r="G716" s="80"/>
    </row>
    <row r="717" spans="1:7">
      <c r="A717" s="80"/>
      <c r="B717" s="80"/>
      <c r="C717" s="81"/>
      <c r="D717" s="82"/>
      <c r="E717" s="82"/>
      <c r="G717" s="80"/>
    </row>
    <row r="718" spans="1:7">
      <c r="A718" s="80"/>
      <c r="B718" s="80"/>
      <c r="C718" s="81"/>
      <c r="D718" s="82"/>
      <c r="E718" s="82"/>
      <c r="G718" s="80"/>
    </row>
    <row r="719" spans="1:7">
      <c r="A719" s="80"/>
      <c r="B719" s="80"/>
      <c r="C719" s="81"/>
      <c r="D719" s="82"/>
      <c r="E719" s="82"/>
      <c r="G719" s="80"/>
    </row>
    <row r="720" spans="1:7">
      <c r="A720" s="80"/>
      <c r="B720" s="80"/>
      <c r="C720" s="81"/>
      <c r="D720" s="82"/>
      <c r="E720" s="82"/>
      <c r="G720" s="80"/>
    </row>
    <row r="721" spans="1:7">
      <c r="A721" s="80"/>
      <c r="B721" s="80"/>
      <c r="C721" s="81"/>
      <c r="D721" s="82"/>
      <c r="E721" s="82"/>
      <c r="G721" s="80"/>
    </row>
    <row r="722" spans="1:7">
      <c r="A722" s="80"/>
      <c r="B722" s="80"/>
      <c r="C722" s="81"/>
      <c r="D722" s="82"/>
      <c r="E722" s="82"/>
      <c r="G722" s="80"/>
    </row>
    <row r="723" spans="1:7">
      <c r="A723" s="80"/>
      <c r="B723" s="80"/>
      <c r="C723" s="81"/>
      <c r="D723" s="82"/>
      <c r="E723" s="82"/>
      <c r="G723" s="80"/>
    </row>
    <row r="724" spans="1:7">
      <c r="A724" s="80"/>
      <c r="B724" s="80"/>
      <c r="C724" s="81"/>
      <c r="D724" s="82"/>
      <c r="E724" s="82"/>
      <c r="G724" s="80"/>
    </row>
    <row r="725" spans="1:7">
      <c r="A725" s="80"/>
      <c r="B725" s="80"/>
      <c r="C725" s="81"/>
      <c r="D725" s="82"/>
      <c r="E725" s="82"/>
      <c r="G725" s="80"/>
    </row>
    <row r="726" spans="1:7">
      <c r="A726" s="80"/>
      <c r="B726" s="80"/>
      <c r="C726" s="81"/>
      <c r="D726" s="82"/>
      <c r="E726" s="82"/>
      <c r="G726" s="80"/>
    </row>
    <row r="727" spans="1:7">
      <c r="A727" s="80"/>
      <c r="B727" s="80"/>
      <c r="C727" s="81"/>
      <c r="D727" s="82"/>
      <c r="E727" s="82"/>
      <c r="G727" s="80"/>
    </row>
    <row r="728" spans="1:7">
      <c r="A728" s="80"/>
      <c r="B728" s="80"/>
      <c r="C728" s="81"/>
      <c r="D728" s="82"/>
      <c r="E728" s="82"/>
      <c r="G728" s="80"/>
    </row>
    <row r="729" spans="1:7">
      <c r="A729" s="80"/>
      <c r="B729" s="80"/>
      <c r="C729" s="81"/>
      <c r="D729" s="82"/>
      <c r="E729" s="82"/>
      <c r="G729" s="80"/>
    </row>
    <row r="730" spans="1:7">
      <c r="A730" s="80"/>
      <c r="B730" s="80"/>
      <c r="C730" s="81"/>
      <c r="D730" s="82"/>
      <c r="E730" s="82"/>
      <c r="G730" s="80"/>
    </row>
    <row r="731" spans="1:7">
      <c r="A731" s="80"/>
      <c r="B731" s="80"/>
      <c r="C731" s="81"/>
      <c r="D731" s="82"/>
      <c r="E731" s="82"/>
      <c r="G731" s="80"/>
    </row>
    <row r="732" spans="1:7">
      <c r="A732" s="80"/>
      <c r="B732" s="80"/>
      <c r="C732" s="81"/>
      <c r="D732" s="82"/>
      <c r="E732" s="82"/>
      <c r="G732" s="80"/>
    </row>
    <row r="733" spans="1:7">
      <c r="A733" s="80"/>
      <c r="B733" s="80"/>
      <c r="C733" s="81"/>
      <c r="D733" s="82"/>
      <c r="E733" s="82"/>
      <c r="G733" s="80"/>
    </row>
    <row r="734" spans="1:7">
      <c r="A734" s="80"/>
      <c r="B734" s="80"/>
      <c r="C734" s="81"/>
      <c r="D734" s="82"/>
      <c r="E734" s="82"/>
      <c r="G734" s="80"/>
    </row>
    <row r="735" spans="1:7">
      <c r="A735" s="80"/>
      <c r="B735" s="80"/>
      <c r="C735" s="81"/>
      <c r="D735" s="82"/>
      <c r="E735" s="82"/>
      <c r="G735" s="80"/>
    </row>
    <row r="736" spans="1:7">
      <c r="A736" s="80"/>
      <c r="B736" s="80"/>
      <c r="C736" s="81"/>
      <c r="D736" s="82"/>
      <c r="E736" s="82"/>
      <c r="G736" s="80"/>
    </row>
    <row r="737" spans="1:7">
      <c r="A737" s="80"/>
      <c r="B737" s="80"/>
      <c r="C737" s="81"/>
      <c r="D737" s="82"/>
      <c r="E737" s="82"/>
      <c r="G737" s="80"/>
    </row>
    <row r="738" spans="1:7">
      <c r="A738" s="80"/>
      <c r="B738" s="80"/>
      <c r="C738" s="81"/>
      <c r="D738" s="82"/>
      <c r="E738" s="82"/>
      <c r="G738" s="80"/>
    </row>
    <row r="739" spans="1:7">
      <c r="A739" s="80"/>
      <c r="B739" s="80"/>
      <c r="C739" s="81"/>
      <c r="D739" s="82"/>
      <c r="E739" s="82"/>
      <c r="G739" s="80"/>
    </row>
    <row r="740" spans="1:7">
      <c r="A740" s="80"/>
      <c r="B740" s="80"/>
      <c r="C740" s="81"/>
      <c r="D740" s="82"/>
      <c r="E740" s="82"/>
      <c r="G740" s="80"/>
    </row>
    <row r="741" spans="1:7">
      <c r="A741" s="80"/>
      <c r="B741" s="80"/>
      <c r="C741" s="81"/>
      <c r="D741" s="82"/>
      <c r="E741" s="82"/>
      <c r="G741" s="80"/>
    </row>
    <row r="742" spans="1:7">
      <c r="A742" s="80"/>
      <c r="B742" s="80"/>
      <c r="C742" s="81"/>
      <c r="D742" s="82"/>
      <c r="E742" s="82"/>
      <c r="G742" s="80"/>
    </row>
    <row r="743" spans="1:7">
      <c r="A743" s="80"/>
      <c r="B743" s="80"/>
      <c r="C743" s="81"/>
      <c r="D743" s="82"/>
      <c r="E743" s="82"/>
      <c r="G743" s="80"/>
    </row>
    <row r="744" spans="1:7">
      <c r="A744" s="80"/>
      <c r="B744" s="80"/>
      <c r="C744" s="81"/>
      <c r="D744" s="82"/>
      <c r="E744" s="82"/>
      <c r="G744" s="80"/>
    </row>
    <row r="745" spans="1:7">
      <c r="A745" s="80"/>
      <c r="B745" s="80"/>
      <c r="C745" s="81"/>
      <c r="D745" s="82"/>
      <c r="E745" s="82"/>
      <c r="G745" s="80"/>
    </row>
    <row r="746" spans="1:7">
      <c r="A746" s="80"/>
      <c r="B746" s="80"/>
      <c r="C746" s="81"/>
      <c r="D746" s="82"/>
      <c r="E746" s="82"/>
      <c r="G746" s="80"/>
    </row>
    <row r="747" spans="1:7">
      <c r="A747" s="80"/>
      <c r="B747" s="80"/>
      <c r="C747" s="81"/>
      <c r="D747" s="82"/>
      <c r="E747" s="82"/>
      <c r="G747" s="80"/>
    </row>
    <row r="748" spans="1:7">
      <c r="A748" s="80"/>
      <c r="B748" s="80"/>
      <c r="C748" s="81"/>
      <c r="D748" s="82"/>
      <c r="E748" s="82"/>
      <c r="G748" s="80"/>
    </row>
    <row r="749" spans="1:7">
      <c r="A749" s="80"/>
      <c r="B749" s="80"/>
      <c r="C749" s="81"/>
      <c r="D749" s="82"/>
      <c r="E749" s="82"/>
      <c r="G749" s="80"/>
    </row>
    <row r="750" spans="1:7">
      <c r="A750" s="80"/>
      <c r="B750" s="80"/>
      <c r="C750" s="81"/>
      <c r="D750" s="82"/>
      <c r="E750" s="82"/>
      <c r="G750" s="80"/>
    </row>
    <row r="751" spans="1:7">
      <c r="A751" s="80"/>
      <c r="B751" s="80"/>
      <c r="C751" s="81"/>
      <c r="D751" s="82"/>
      <c r="E751" s="82"/>
      <c r="G751" s="80"/>
    </row>
    <row r="752" spans="1:7">
      <c r="A752" s="80"/>
      <c r="B752" s="80"/>
      <c r="C752" s="81"/>
      <c r="D752" s="82"/>
      <c r="E752" s="82"/>
      <c r="G752" s="80"/>
    </row>
    <row r="753" spans="1:7">
      <c r="A753" s="80"/>
      <c r="B753" s="80"/>
      <c r="C753" s="81"/>
      <c r="D753" s="82"/>
      <c r="E753" s="82"/>
      <c r="G753" s="80"/>
    </row>
    <row r="754" spans="1:7">
      <c r="A754" s="80"/>
      <c r="B754" s="80"/>
      <c r="C754" s="81"/>
      <c r="D754" s="82"/>
      <c r="E754" s="82"/>
      <c r="G754" s="80"/>
    </row>
    <row r="755" spans="1:7">
      <c r="A755" s="80"/>
      <c r="B755" s="80"/>
      <c r="C755" s="81"/>
      <c r="D755" s="82"/>
      <c r="E755" s="82"/>
      <c r="G755" s="80"/>
    </row>
    <row r="756" spans="1:7">
      <c r="A756" s="80"/>
      <c r="B756" s="80"/>
      <c r="C756" s="81"/>
      <c r="D756" s="82"/>
      <c r="E756" s="82"/>
      <c r="G756" s="80"/>
    </row>
    <row r="757" spans="1:7">
      <c r="A757" s="80"/>
      <c r="B757" s="80"/>
      <c r="C757" s="81"/>
      <c r="D757" s="82"/>
      <c r="E757" s="82"/>
      <c r="G757" s="80"/>
    </row>
    <row r="758" spans="1:7">
      <c r="A758" s="80"/>
      <c r="B758" s="80"/>
      <c r="C758" s="81"/>
      <c r="D758" s="82"/>
      <c r="E758" s="82"/>
      <c r="G758" s="80"/>
    </row>
    <row r="759" spans="1:7">
      <c r="A759" s="80"/>
      <c r="B759" s="80"/>
      <c r="C759" s="81"/>
      <c r="D759" s="82"/>
      <c r="E759" s="82"/>
      <c r="G759" s="80"/>
    </row>
    <row r="760" spans="1:7">
      <c r="A760" s="80"/>
      <c r="B760" s="80"/>
      <c r="C760" s="81"/>
      <c r="D760" s="82"/>
      <c r="E760" s="82"/>
      <c r="G760" s="80"/>
    </row>
    <row r="761" spans="1:7">
      <c r="A761" s="80"/>
      <c r="B761" s="80"/>
      <c r="C761" s="81"/>
      <c r="D761" s="82"/>
      <c r="E761" s="82"/>
      <c r="G761" s="80"/>
    </row>
    <row r="762" spans="1:7">
      <c r="A762" s="80"/>
      <c r="B762" s="80"/>
      <c r="C762" s="81"/>
      <c r="D762" s="82"/>
      <c r="E762" s="82"/>
      <c r="G762" s="80"/>
    </row>
    <row r="763" spans="1:7">
      <c r="A763" s="80"/>
      <c r="B763" s="80"/>
      <c r="C763" s="81"/>
      <c r="D763" s="82"/>
      <c r="E763" s="82"/>
      <c r="G763" s="80"/>
    </row>
    <row r="764" spans="1:7">
      <c r="A764" s="80"/>
      <c r="B764" s="80"/>
      <c r="C764" s="81"/>
      <c r="D764" s="82"/>
      <c r="E764" s="82"/>
      <c r="G764" s="80"/>
    </row>
    <row r="765" spans="1:7">
      <c r="A765" s="80"/>
      <c r="B765" s="80"/>
      <c r="C765" s="81"/>
      <c r="D765" s="82"/>
      <c r="E765" s="82"/>
      <c r="G765" s="80"/>
    </row>
    <row r="766" spans="1:7">
      <c r="A766" s="80"/>
      <c r="B766" s="80"/>
      <c r="C766" s="81"/>
      <c r="D766" s="82"/>
      <c r="E766" s="82"/>
      <c r="G766" s="80"/>
    </row>
    <row r="767" spans="1:7">
      <c r="A767" s="80"/>
      <c r="B767" s="80"/>
      <c r="C767" s="81"/>
      <c r="D767" s="82"/>
      <c r="E767" s="82"/>
      <c r="G767" s="80"/>
    </row>
    <row r="768" spans="1:7">
      <c r="A768" s="80"/>
      <c r="B768" s="80"/>
      <c r="C768" s="81"/>
      <c r="D768" s="82"/>
      <c r="E768" s="82"/>
      <c r="G768" s="80"/>
    </row>
    <row r="769" spans="1:7">
      <c r="A769" s="80"/>
      <c r="B769" s="80"/>
      <c r="C769" s="81"/>
      <c r="D769" s="82"/>
      <c r="E769" s="82"/>
      <c r="G769" s="80"/>
    </row>
    <row r="770" spans="1:7">
      <c r="A770" s="80"/>
      <c r="B770" s="80"/>
      <c r="C770" s="81"/>
      <c r="D770" s="82"/>
      <c r="E770" s="82"/>
      <c r="G770" s="80"/>
    </row>
    <row r="771" spans="1:7">
      <c r="A771" s="80"/>
      <c r="B771" s="80"/>
      <c r="C771" s="81"/>
      <c r="D771" s="82"/>
      <c r="E771" s="82"/>
      <c r="G771" s="80"/>
    </row>
    <row r="772" spans="1:7">
      <c r="A772" s="80"/>
      <c r="B772" s="80"/>
      <c r="C772" s="81"/>
      <c r="D772" s="82"/>
      <c r="E772" s="82"/>
      <c r="G772" s="80"/>
    </row>
    <row r="773" spans="1:7">
      <c r="A773" s="80"/>
      <c r="B773" s="80"/>
      <c r="C773" s="81"/>
      <c r="D773" s="82"/>
      <c r="E773" s="82"/>
      <c r="G773" s="80"/>
    </row>
    <row r="774" spans="1:7">
      <c r="A774" s="80"/>
      <c r="B774" s="80"/>
      <c r="C774" s="81"/>
      <c r="D774" s="82"/>
      <c r="E774" s="82"/>
      <c r="G774" s="80"/>
    </row>
    <row r="775" spans="1:7">
      <c r="A775" s="80"/>
      <c r="B775" s="80"/>
      <c r="C775" s="81"/>
      <c r="D775" s="82"/>
      <c r="E775" s="82"/>
      <c r="G775" s="80"/>
    </row>
    <row r="776" spans="1:7">
      <c r="A776" s="80"/>
      <c r="B776" s="80"/>
      <c r="C776" s="81"/>
      <c r="D776" s="82"/>
      <c r="E776" s="82"/>
      <c r="G776" s="80"/>
    </row>
    <row r="777" spans="1:7">
      <c r="A777" s="80"/>
      <c r="B777" s="80"/>
      <c r="C777" s="81"/>
      <c r="D777" s="82"/>
      <c r="E777" s="82"/>
      <c r="G777" s="80"/>
    </row>
    <row r="778" spans="1:7">
      <c r="A778" s="80"/>
      <c r="B778" s="80"/>
      <c r="C778" s="81"/>
      <c r="D778" s="82"/>
      <c r="E778" s="82"/>
      <c r="G778" s="80"/>
    </row>
    <row r="779" spans="1:7">
      <c r="A779" s="80"/>
      <c r="B779" s="80"/>
      <c r="C779" s="81"/>
      <c r="D779" s="82"/>
      <c r="E779" s="82"/>
      <c r="G779" s="80"/>
    </row>
    <row r="780" spans="1:7">
      <c r="A780" s="80"/>
      <c r="B780" s="80"/>
      <c r="C780" s="81"/>
      <c r="D780" s="82"/>
      <c r="E780" s="82"/>
      <c r="G780" s="80"/>
    </row>
    <row r="781" spans="1:7">
      <c r="A781" s="80"/>
      <c r="B781" s="80"/>
      <c r="C781" s="81"/>
      <c r="D781" s="82"/>
      <c r="E781" s="82"/>
      <c r="G781" s="80"/>
    </row>
    <row r="782" spans="1:7">
      <c r="A782" s="80"/>
      <c r="B782" s="80"/>
      <c r="C782" s="81"/>
      <c r="D782" s="82"/>
      <c r="E782" s="82"/>
      <c r="G782" s="80"/>
    </row>
    <row r="783" spans="1:7">
      <c r="A783" s="80"/>
      <c r="B783" s="80"/>
      <c r="C783" s="81"/>
      <c r="D783" s="82"/>
      <c r="E783" s="82"/>
      <c r="G783" s="80"/>
    </row>
    <row r="784" spans="1:7">
      <c r="A784" s="80"/>
      <c r="B784" s="80"/>
      <c r="C784" s="81"/>
      <c r="D784" s="82"/>
      <c r="E784" s="82"/>
      <c r="G784" s="80"/>
    </row>
    <row r="785" spans="1:7">
      <c r="A785" s="80"/>
      <c r="B785" s="80"/>
      <c r="C785" s="81"/>
      <c r="D785" s="82"/>
      <c r="E785" s="82"/>
      <c r="G785" s="80"/>
    </row>
    <row r="786" spans="1:7">
      <c r="A786" s="80"/>
      <c r="B786" s="80"/>
      <c r="C786" s="81"/>
      <c r="D786" s="82"/>
      <c r="E786" s="82"/>
      <c r="G786" s="80"/>
    </row>
    <row r="787" spans="1:7">
      <c r="A787" s="80"/>
      <c r="B787" s="80"/>
      <c r="C787" s="81"/>
      <c r="D787" s="82"/>
      <c r="E787" s="82"/>
      <c r="G787" s="80"/>
    </row>
    <row r="788" spans="1:7">
      <c r="A788" s="80"/>
      <c r="B788" s="80"/>
      <c r="C788" s="81"/>
      <c r="D788" s="82"/>
      <c r="E788" s="82"/>
      <c r="G788" s="80"/>
    </row>
    <row r="789" spans="1:7">
      <c r="A789" s="80"/>
      <c r="B789" s="80"/>
      <c r="C789" s="81"/>
      <c r="D789" s="82"/>
      <c r="E789" s="82"/>
      <c r="G789" s="80"/>
    </row>
    <row r="790" spans="1:7">
      <c r="A790" s="80"/>
      <c r="B790" s="80"/>
      <c r="C790" s="81"/>
      <c r="D790" s="82"/>
      <c r="E790" s="82"/>
      <c r="G790" s="80"/>
    </row>
    <row r="791" spans="1:7">
      <c r="A791" s="80"/>
      <c r="B791" s="80"/>
      <c r="C791" s="81"/>
      <c r="D791" s="82"/>
      <c r="E791" s="82"/>
      <c r="G791" s="80"/>
    </row>
    <row r="792" spans="1:7">
      <c r="A792" s="80"/>
      <c r="B792" s="80"/>
      <c r="C792" s="81"/>
      <c r="D792" s="82"/>
      <c r="E792" s="82"/>
      <c r="G792" s="80"/>
    </row>
    <row r="793" spans="1:7">
      <c r="A793" s="80"/>
      <c r="B793" s="80"/>
      <c r="C793" s="81"/>
      <c r="D793" s="82"/>
      <c r="E793" s="82"/>
      <c r="G793" s="80"/>
    </row>
    <row r="794" spans="1:7">
      <c r="A794" s="80"/>
      <c r="B794" s="80"/>
      <c r="C794" s="81"/>
      <c r="D794" s="82"/>
      <c r="E794" s="82"/>
      <c r="G794" s="80"/>
    </row>
    <row r="795" spans="1:7">
      <c r="A795" s="80"/>
      <c r="B795" s="80"/>
      <c r="C795" s="81"/>
      <c r="D795" s="82"/>
      <c r="E795" s="82"/>
      <c r="G795" s="80"/>
    </row>
    <row r="796" spans="1:7">
      <c r="A796" s="80"/>
      <c r="B796" s="80"/>
      <c r="C796" s="81"/>
      <c r="D796" s="82"/>
      <c r="E796" s="82"/>
      <c r="G796" s="80"/>
    </row>
    <row r="797" spans="1:7">
      <c r="A797" s="80"/>
      <c r="B797" s="80"/>
      <c r="C797" s="81"/>
      <c r="D797" s="82"/>
      <c r="E797" s="82"/>
      <c r="G797" s="80"/>
    </row>
    <row r="798" spans="1:7">
      <c r="A798" s="80"/>
      <c r="B798" s="80"/>
      <c r="C798" s="81"/>
      <c r="D798" s="82"/>
      <c r="E798" s="82"/>
      <c r="G798" s="80"/>
    </row>
    <row r="799" spans="1:7">
      <c r="A799" s="80"/>
      <c r="B799" s="80"/>
      <c r="C799" s="81"/>
      <c r="D799" s="82"/>
      <c r="E799" s="82"/>
      <c r="G799" s="80"/>
    </row>
    <row r="800" spans="1:7">
      <c r="A800" s="80"/>
      <c r="B800" s="80"/>
      <c r="C800" s="81"/>
      <c r="D800" s="82"/>
      <c r="E800" s="82"/>
      <c r="G800" s="80"/>
    </row>
    <row r="801" spans="1:7">
      <c r="A801" s="80"/>
      <c r="B801" s="80"/>
      <c r="C801" s="81"/>
      <c r="D801" s="82"/>
      <c r="E801" s="82"/>
      <c r="G801" s="80"/>
    </row>
    <row r="802" spans="1:7">
      <c r="A802" s="80"/>
      <c r="B802" s="80"/>
      <c r="C802" s="81"/>
      <c r="D802" s="82"/>
      <c r="E802" s="82"/>
      <c r="G802" s="80"/>
    </row>
    <row r="803" spans="1:7">
      <c r="A803" s="80"/>
      <c r="B803" s="80"/>
      <c r="C803" s="81"/>
      <c r="D803" s="82"/>
      <c r="E803" s="82"/>
      <c r="G803" s="80"/>
    </row>
    <row r="804" spans="1:7">
      <c r="A804" s="80"/>
      <c r="B804" s="80"/>
      <c r="C804" s="81"/>
      <c r="D804" s="82"/>
      <c r="E804" s="82"/>
      <c r="G804" s="80"/>
    </row>
    <row r="805" spans="1:7">
      <c r="A805" s="80"/>
      <c r="B805" s="80"/>
      <c r="C805" s="81"/>
      <c r="D805" s="82"/>
      <c r="E805" s="82"/>
      <c r="G805" s="80"/>
    </row>
    <row r="806" spans="1:7">
      <c r="A806" s="80"/>
      <c r="B806" s="80"/>
      <c r="C806" s="81"/>
      <c r="D806" s="82"/>
      <c r="E806" s="82"/>
      <c r="G806" s="80"/>
    </row>
    <row r="807" spans="1:7">
      <c r="A807" s="80"/>
      <c r="B807" s="80"/>
      <c r="C807" s="81"/>
      <c r="D807" s="82"/>
      <c r="E807" s="82"/>
      <c r="G807" s="80"/>
    </row>
    <row r="808" spans="1:7">
      <c r="A808" s="80"/>
      <c r="B808" s="80"/>
      <c r="C808" s="81"/>
      <c r="D808" s="82"/>
      <c r="E808" s="82"/>
      <c r="G808" s="80"/>
    </row>
    <row r="809" spans="1:7">
      <c r="A809" s="80"/>
      <c r="B809" s="80"/>
      <c r="C809" s="81"/>
      <c r="D809" s="82"/>
      <c r="E809" s="82"/>
      <c r="G809" s="80"/>
    </row>
    <row r="810" spans="1:7">
      <c r="A810" s="80"/>
      <c r="B810" s="80"/>
      <c r="C810" s="81"/>
      <c r="D810" s="82"/>
      <c r="E810" s="82"/>
      <c r="G810" s="80"/>
    </row>
    <row r="811" spans="1:7">
      <c r="A811" s="80"/>
      <c r="B811" s="80"/>
      <c r="C811" s="81"/>
      <c r="D811" s="82"/>
      <c r="E811" s="82"/>
      <c r="G811" s="80"/>
    </row>
    <row r="812" spans="1:7">
      <c r="A812" s="80"/>
      <c r="B812" s="80"/>
      <c r="C812" s="81"/>
      <c r="D812" s="82"/>
      <c r="E812" s="82"/>
      <c r="G812" s="80"/>
    </row>
    <row r="813" spans="1:7">
      <c r="A813" s="80"/>
      <c r="B813" s="80"/>
      <c r="C813" s="81"/>
      <c r="D813" s="82"/>
      <c r="E813" s="82"/>
      <c r="G813" s="80"/>
    </row>
    <row r="814" spans="1:7">
      <c r="A814" s="80"/>
      <c r="B814" s="80"/>
      <c r="C814" s="81"/>
      <c r="D814" s="82"/>
      <c r="E814" s="82"/>
      <c r="G814" s="80"/>
    </row>
    <row r="815" spans="1:7">
      <c r="A815" s="80"/>
      <c r="B815" s="80"/>
      <c r="C815" s="81"/>
      <c r="D815" s="82"/>
      <c r="E815" s="82"/>
      <c r="G815" s="80"/>
    </row>
    <row r="816" spans="1:7">
      <c r="A816" s="80"/>
      <c r="B816" s="80"/>
      <c r="C816" s="81"/>
      <c r="D816" s="82"/>
      <c r="E816" s="82"/>
      <c r="G816" s="80"/>
    </row>
    <row r="817" spans="1:7">
      <c r="A817" s="80"/>
      <c r="B817" s="80"/>
      <c r="C817" s="81"/>
      <c r="D817" s="82"/>
      <c r="E817" s="82"/>
      <c r="G817" s="80"/>
    </row>
    <row r="818" spans="1:7">
      <c r="A818" s="80"/>
      <c r="B818" s="80"/>
      <c r="C818" s="81"/>
      <c r="D818" s="82"/>
      <c r="E818" s="82"/>
      <c r="G818" s="80"/>
    </row>
    <row r="819" spans="1:7">
      <c r="A819" s="80"/>
      <c r="B819" s="80"/>
      <c r="C819" s="81"/>
      <c r="D819" s="82"/>
      <c r="E819" s="82"/>
      <c r="G819" s="80"/>
    </row>
    <row r="820" spans="1:7">
      <c r="A820" s="80"/>
      <c r="B820" s="80"/>
      <c r="C820" s="81"/>
      <c r="D820" s="82"/>
      <c r="E820" s="82"/>
      <c r="G820" s="80"/>
    </row>
    <row r="821" spans="1:7">
      <c r="A821" s="80"/>
      <c r="B821" s="80"/>
      <c r="C821" s="81"/>
      <c r="D821" s="82"/>
      <c r="E821" s="82"/>
      <c r="G821" s="80"/>
    </row>
    <row r="822" spans="1:7">
      <c r="A822" s="80"/>
      <c r="B822" s="80"/>
      <c r="C822" s="81"/>
      <c r="D822" s="82"/>
      <c r="E822" s="82"/>
      <c r="G822" s="80"/>
    </row>
    <row r="823" spans="1:7">
      <c r="A823" s="80"/>
      <c r="B823" s="80"/>
      <c r="C823" s="81"/>
      <c r="D823" s="82"/>
      <c r="E823" s="82"/>
      <c r="G823" s="80"/>
    </row>
    <row r="824" spans="1:7">
      <c r="A824" s="80"/>
      <c r="B824" s="80"/>
      <c r="C824" s="81"/>
      <c r="D824" s="82"/>
      <c r="E824" s="82"/>
      <c r="G824" s="80"/>
    </row>
    <row r="825" spans="1:7">
      <c r="A825" s="80"/>
      <c r="B825" s="80"/>
      <c r="C825" s="81"/>
      <c r="D825" s="82"/>
      <c r="E825" s="82"/>
      <c r="G825" s="80"/>
    </row>
    <row r="826" spans="1:7">
      <c r="A826" s="80"/>
      <c r="B826" s="80"/>
      <c r="C826" s="81"/>
      <c r="D826" s="82"/>
      <c r="E826" s="82"/>
      <c r="G826" s="80"/>
    </row>
    <row r="827" spans="1:7">
      <c r="A827" s="80"/>
      <c r="B827" s="80"/>
      <c r="C827" s="81"/>
      <c r="D827" s="82"/>
      <c r="E827" s="82"/>
      <c r="G827" s="80"/>
    </row>
    <row r="828" spans="1:7">
      <c r="A828" s="80"/>
      <c r="B828" s="80"/>
      <c r="C828" s="81"/>
      <c r="D828" s="82"/>
      <c r="E828" s="82"/>
      <c r="G828" s="80"/>
    </row>
    <row r="829" spans="1:7">
      <c r="A829" s="80"/>
      <c r="B829" s="80"/>
      <c r="C829" s="81"/>
      <c r="D829" s="82"/>
      <c r="E829" s="82"/>
      <c r="G829" s="80"/>
    </row>
    <row r="830" spans="1:7">
      <c r="A830" s="80"/>
      <c r="B830" s="80"/>
      <c r="C830" s="81"/>
      <c r="D830" s="82"/>
      <c r="E830" s="82"/>
      <c r="G830" s="80"/>
    </row>
    <row r="831" spans="1:7">
      <c r="A831" s="80"/>
      <c r="B831" s="80"/>
      <c r="C831" s="81"/>
      <c r="D831" s="82"/>
      <c r="E831" s="82"/>
      <c r="G831" s="80"/>
    </row>
    <row r="832" spans="1:7">
      <c r="A832" s="80"/>
      <c r="B832" s="80"/>
      <c r="C832" s="81"/>
      <c r="D832" s="82"/>
      <c r="E832" s="82"/>
      <c r="G832" s="80"/>
    </row>
    <row r="833" spans="1:7">
      <c r="A833" s="80"/>
      <c r="B833" s="80"/>
      <c r="C833" s="81"/>
      <c r="D833" s="82"/>
      <c r="E833" s="82"/>
      <c r="G833" s="80"/>
    </row>
    <row r="834" spans="1:7">
      <c r="A834" s="80"/>
      <c r="B834" s="80"/>
      <c r="C834" s="81"/>
      <c r="D834" s="82"/>
      <c r="E834" s="82"/>
      <c r="G834" s="80"/>
    </row>
    <row r="835" spans="1:7">
      <c r="A835" s="80"/>
      <c r="B835" s="80"/>
      <c r="C835" s="81"/>
      <c r="D835" s="82"/>
      <c r="E835" s="82"/>
      <c r="G835" s="80"/>
    </row>
    <row r="836" spans="1:7">
      <c r="A836" s="80"/>
      <c r="B836" s="80"/>
      <c r="C836" s="81"/>
      <c r="D836" s="82"/>
      <c r="E836" s="82"/>
      <c r="G836" s="80"/>
    </row>
    <row r="837" spans="1:7">
      <c r="A837" s="80"/>
      <c r="B837" s="80"/>
      <c r="C837" s="81"/>
      <c r="D837" s="82"/>
      <c r="E837" s="82"/>
      <c r="G837" s="80"/>
    </row>
    <row r="838" spans="1:7">
      <c r="A838" s="80"/>
      <c r="B838" s="80"/>
      <c r="C838" s="81"/>
      <c r="D838" s="82"/>
      <c r="E838" s="82"/>
      <c r="G838" s="80"/>
    </row>
    <row r="839" spans="1:7">
      <c r="A839" s="80"/>
      <c r="B839" s="80"/>
      <c r="C839" s="81"/>
      <c r="D839" s="82"/>
      <c r="E839" s="82"/>
      <c r="G839" s="80"/>
    </row>
    <row r="840" spans="1:7">
      <c r="A840" s="80"/>
      <c r="B840" s="80"/>
      <c r="C840" s="81"/>
      <c r="D840" s="82"/>
      <c r="E840" s="82"/>
      <c r="G840" s="80"/>
    </row>
    <row r="841" spans="1:7">
      <c r="A841" s="80"/>
      <c r="B841" s="80"/>
      <c r="C841" s="81"/>
      <c r="D841" s="82"/>
      <c r="E841" s="82"/>
      <c r="G841" s="80"/>
    </row>
    <row r="842" spans="1:7">
      <c r="A842" s="80"/>
      <c r="B842" s="80"/>
      <c r="C842" s="81"/>
      <c r="D842" s="82"/>
      <c r="E842" s="82"/>
      <c r="G842" s="80"/>
    </row>
    <row r="843" spans="1:7">
      <c r="A843" s="80"/>
      <c r="B843" s="80"/>
      <c r="C843" s="81"/>
      <c r="D843" s="82"/>
      <c r="E843" s="82"/>
      <c r="G843" s="80"/>
    </row>
    <row r="844" spans="1:7">
      <c r="A844" s="80"/>
      <c r="B844" s="80"/>
      <c r="C844" s="81"/>
      <c r="D844" s="82"/>
      <c r="E844" s="82"/>
      <c r="G844" s="80"/>
    </row>
    <row r="845" spans="1:7">
      <c r="A845" s="80"/>
      <c r="B845" s="80"/>
      <c r="C845" s="81"/>
      <c r="D845" s="82"/>
      <c r="E845" s="82"/>
      <c r="G845" s="80"/>
    </row>
    <row r="846" spans="1:7">
      <c r="A846" s="80"/>
      <c r="B846" s="80"/>
      <c r="C846" s="81"/>
      <c r="D846" s="82"/>
      <c r="E846" s="82"/>
      <c r="G846" s="80"/>
    </row>
    <row r="847" spans="1:7">
      <c r="A847" s="80"/>
      <c r="B847" s="80"/>
      <c r="C847" s="81"/>
      <c r="D847" s="82"/>
      <c r="E847" s="82"/>
      <c r="G847" s="80"/>
    </row>
    <row r="848" spans="1:7">
      <c r="A848" s="80"/>
      <c r="B848" s="80"/>
      <c r="C848" s="81"/>
      <c r="D848" s="82"/>
      <c r="E848" s="82"/>
      <c r="G848" s="80"/>
    </row>
    <row r="849" spans="1:7">
      <c r="A849" s="80"/>
      <c r="B849" s="80"/>
      <c r="C849" s="81"/>
      <c r="D849" s="82"/>
      <c r="E849" s="82"/>
      <c r="G849" s="80"/>
    </row>
    <row r="850" spans="1:7">
      <c r="A850" s="80"/>
      <c r="B850" s="80"/>
      <c r="C850" s="81"/>
      <c r="D850" s="82"/>
      <c r="E850" s="82"/>
      <c r="G850" s="80"/>
    </row>
    <row r="851" spans="1:7">
      <c r="A851" s="80"/>
      <c r="B851" s="80"/>
      <c r="C851" s="81"/>
      <c r="D851" s="82"/>
      <c r="E851" s="82"/>
      <c r="G851" s="80"/>
    </row>
    <row r="852" spans="1:7">
      <c r="A852" s="80"/>
      <c r="B852" s="80"/>
      <c r="C852" s="81"/>
      <c r="D852" s="82"/>
      <c r="E852" s="82"/>
      <c r="G852" s="80"/>
    </row>
    <row r="853" spans="1:7">
      <c r="A853" s="80"/>
      <c r="B853" s="80"/>
      <c r="C853" s="81"/>
      <c r="D853" s="82"/>
      <c r="E853" s="82"/>
      <c r="G853" s="80"/>
    </row>
    <row r="854" spans="1:7">
      <c r="A854" s="80"/>
      <c r="B854" s="80"/>
      <c r="C854" s="81"/>
      <c r="D854" s="82"/>
      <c r="E854" s="82"/>
      <c r="G854" s="80"/>
    </row>
    <row r="855" spans="1:7">
      <c r="A855" s="80"/>
      <c r="B855" s="80"/>
      <c r="C855" s="81"/>
      <c r="D855" s="82"/>
      <c r="E855" s="82"/>
      <c r="G855" s="80"/>
    </row>
    <row r="856" spans="1:7">
      <c r="A856" s="80"/>
      <c r="B856" s="80"/>
      <c r="C856" s="81"/>
      <c r="D856" s="82"/>
      <c r="E856" s="82"/>
      <c r="G856" s="80"/>
    </row>
    <row r="857" spans="1:7">
      <c r="A857" s="80"/>
      <c r="B857" s="80"/>
      <c r="C857" s="81"/>
      <c r="D857" s="82"/>
      <c r="E857" s="82"/>
      <c r="G857" s="80"/>
    </row>
    <row r="858" spans="1:7">
      <c r="A858" s="80"/>
      <c r="B858" s="80"/>
      <c r="C858" s="81"/>
      <c r="D858" s="82"/>
      <c r="E858" s="82"/>
      <c r="G858" s="80"/>
    </row>
    <row r="859" spans="1:7">
      <c r="A859" s="80"/>
      <c r="B859" s="80"/>
      <c r="C859" s="81"/>
      <c r="D859" s="82"/>
      <c r="E859" s="82"/>
      <c r="G859" s="80"/>
    </row>
    <row r="860" spans="1:7">
      <c r="A860" s="80"/>
      <c r="B860" s="80"/>
      <c r="C860" s="81"/>
      <c r="D860" s="82"/>
      <c r="E860" s="82"/>
      <c r="G860" s="80"/>
    </row>
    <row r="861" spans="1:7">
      <c r="A861" s="80"/>
      <c r="B861" s="80"/>
      <c r="C861" s="81"/>
      <c r="D861" s="82"/>
      <c r="E861" s="82"/>
      <c r="G861" s="80"/>
    </row>
    <row r="862" spans="1:7">
      <c r="A862" s="80"/>
      <c r="B862" s="80"/>
      <c r="C862" s="81"/>
      <c r="D862" s="82"/>
      <c r="E862" s="82"/>
      <c r="G862" s="80"/>
    </row>
    <row r="863" spans="1:7">
      <c r="A863" s="80"/>
      <c r="B863" s="80"/>
      <c r="C863" s="81"/>
      <c r="D863" s="82"/>
      <c r="E863" s="82"/>
      <c r="G863" s="80"/>
    </row>
    <row r="864" spans="1:7">
      <c r="A864" s="80"/>
      <c r="B864" s="80"/>
      <c r="C864" s="81"/>
      <c r="D864" s="82"/>
      <c r="E864" s="82"/>
      <c r="G864" s="80"/>
    </row>
    <row r="865" spans="1:7">
      <c r="A865" s="80"/>
      <c r="B865" s="80"/>
      <c r="C865" s="81"/>
      <c r="D865" s="82"/>
      <c r="E865" s="82"/>
      <c r="G865" s="80"/>
    </row>
    <row r="866" spans="1:7">
      <c r="A866" s="80"/>
      <c r="B866" s="80"/>
      <c r="C866" s="81"/>
      <c r="D866" s="82"/>
      <c r="E866" s="82"/>
      <c r="G866" s="80"/>
    </row>
    <row r="867" spans="1:7">
      <c r="A867" s="80"/>
      <c r="B867" s="80"/>
      <c r="C867" s="81"/>
      <c r="D867" s="82"/>
      <c r="E867" s="82"/>
      <c r="G867" s="80"/>
    </row>
    <row r="868" spans="1:7">
      <c r="A868" s="80"/>
      <c r="B868" s="80"/>
      <c r="C868" s="81"/>
      <c r="D868" s="82"/>
      <c r="E868" s="82"/>
      <c r="G868" s="80"/>
    </row>
    <row r="869" spans="1:7">
      <c r="A869" s="80"/>
      <c r="B869" s="80"/>
      <c r="C869" s="81"/>
      <c r="D869" s="82"/>
      <c r="E869" s="82"/>
      <c r="G869" s="80"/>
    </row>
    <row r="870" spans="1:7">
      <c r="A870" s="80"/>
      <c r="B870" s="80"/>
      <c r="C870" s="81"/>
      <c r="D870" s="82"/>
      <c r="E870" s="82"/>
      <c r="G870" s="80"/>
    </row>
    <row r="871" spans="1:7">
      <c r="A871" s="80"/>
      <c r="B871" s="80"/>
      <c r="C871" s="81"/>
      <c r="D871" s="82"/>
      <c r="E871" s="82"/>
      <c r="G871" s="80"/>
    </row>
    <row r="872" spans="1:7">
      <c r="A872" s="80"/>
      <c r="B872" s="80"/>
      <c r="C872" s="81"/>
      <c r="D872" s="82"/>
      <c r="E872" s="82"/>
      <c r="G872" s="80"/>
    </row>
    <row r="873" spans="1:7">
      <c r="A873" s="80"/>
      <c r="B873" s="80"/>
      <c r="C873" s="81"/>
      <c r="D873" s="82"/>
      <c r="E873" s="82"/>
      <c r="G873" s="80"/>
    </row>
    <row r="874" spans="1:7">
      <c r="A874" s="80"/>
      <c r="B874" s="80"/>
      <c r="C874" s="81"/>
      <c r="D874" s="82"/>
      <c r="E874" s="82"/>
      <c r="G874" s="80"/>
    </row>
    <row r="875" spans="1:7">
      <c r="A875" s="80"/>
      <c r="B875" s="80"/>
      <c r="C875" s="81"/>
      <c r="D875" s="82"/>
      <c r="E875" s="82"/>
      <c r="G875" s="80"/>
    </row>
    <row r="876" spans="1:7">
      <c r="A876" s="80"/>
      <c r="B876" s="80"/>
      <c r="C876" s="81"/>
      <c r="D876" s="82"/>
      <c r="E876" s="82"/>
      <c r="G876" s="80"/>
    </row>
    <row r="877" spans="1:7">
      <c r="A877" s="80"/>
      <c r="B877" s="80"/>
      <c r="C877" s="81"/>
      <c r="D877" s="82"/>
      <c r="E877" s="82"/>
      <c r="G877" s="80"/>
    </row>
    <row r="878" spans="1:7">
      <c r="A878" s="80"/>
      <c r="B878" s="80"/>
      <c r="C878" s="81"/>
      <c r="D878" s="82"/>
      <c r="E878" s="82"/>
      <c r="G878" s="80"/>
    </row>
    <row r="879" spans="1:7">
      <c r="A879" s="80"/>
      <c r="B879" s="80"/>
      <c r="C879" s="81"/>
      <c r="D879" s="82"/>
      <c r="E879" s="82"/>
      <c r="G879" s="80"/>
    </row>
    <row r="880" spans="1:7">
      <c r="A880" s="80"/>
      <c r="B880" s="80"/>
      <c r="C880" s="81"/>
      <c r="D880" s="82"/>
      <c r="E880" s="82"/>
      <c r="G880" s="80"/>
    </row>
    <row r="881" spans="1:7">
      <c r="A881" s="80"/>
      <c r="B881" s="80"/>
      <c r="C881" s="81"/>
      <c r="D881" s="82"/>
      <c r="E881" s="82"/>
      <c r="G881" s="80"/>
    </row>
    <row r="882" spans="1:7">
      <c r="A882" s="80"/>
      <c r="B882" s="80"/>
      <c r="C882" s="81"/>
      <c r="D882" s="82"/>
      <c r="E882" s="82"/>
      <c r="G882" s="80"/>
    </row>
    <row r="883" spans="1:7">
      <c r="A883" s="80"/>
      <c r="B883" s="80"/>
      <c r="C883" s="81"/>
      <c r="D883" s="82"/>
      <c r="E883" s="82"/>
      <c r="G883" s="80"/>
    </row>
    <row r="884" spans="1:7">
      <c r="A884" s="80"/>
      <c r="B884" s="80"/>
      <c r="C884" s="81"/>
      <c r="D884" s="82"/>
      <c r="E884" s="82"/>
      <c r="G884" s="80"/>
    </row>
    <row r="885" spans="1:7">
      <c r="A885" s="80"/>
      <c r="B885" s="80"/>
      <c r="C885" s="81"/>
      <c r="D885" s="82"/>
      <c r="E885" s="82"/>
      <c r="G885" s="80"/>
    </row>
    <row r="886" spans="1:7">
      <c r="A886" s="80"/>
      <c r="B886" s="80"/>
      <c r="C886" s="81"/>
      <c r="D886" s="82"/>
      <c r="E886" s="82"/>
      <c r="G886" s="80"/>
    </row>
    <row r="887" spans="1:7">
      <c r="A887" s="80"/>
      <c r="B887" s="80"/>
      <c r="C887" s="81"/>
      <c r="D887" s="82"/>
      <c r="E887" s="82"/>
      <c r="G887" s="80"/>
    </row>
    <row r="888" spans="1:7">
      <c r="A888" s="80"/>
      <c r="B888" s="80"/>
      <c r="C888" s="81"/>
      <c r="D888" s="82"/>
      <c r="E888" s="82"/>
      <c r="G888" s="80"/>
    </row>
    <row r="889" spans="1:7">
      <c r="A889" s="80"/>
      <c r="B889" s="80"/>
      <c r="C889" s="81"/>
      <c r="D889" s="82"/>
      <c r="E889" s="82"/>
      <c r="G889" s="80"/>
    </row>
    <row r="890" spans="1:7">
      <c r="A890" s="80"/>
      <c r="B890" s="80"/>
      <c r="C890" s="81"/>
      <c r="D890" s="82"/>
      <c r="E890" s="82"/>
      <c r="G890" s="80"/>
    </row>
    <row r="891" spans="1:7">
      <c r="A891" s="80"/>
      <c r="B891" s="80"/>
      <c r="C891" s="81"/>
      <c r="D891" s="82"/>
      <c r="E891" s="82"/>
      <c r="G891" s="80"/>
    </row>
    <row r="892" spans="1:7">
      <c r="A892" s="80"/>
      <c r="B892" s="80"/>
      <c r="C892" s="81"/>
      <c r="D892" s="82"/>
      <c r="E892" s="82"/>
      <c r="G892" s="80"/>
    </row>
    <row r="893" spans="1:7">
      <c r="A893" s="80"/>
      <c r="B893" s="80"/>
      <c r="C893" s="81"/>
      <c r="D893" s="82"/>
      <c r="E893" s="82"/>
      <c r="G893" s="80"/>
    </row>
    <row r="894" spans="1:7">
      <c r="A894" s="80"/>
      <c r="B894" s="80"/>
      <c r="C894" s="81"/>
      <c r="D894" s="82"/>
      <c r="E894" s="82"/>
      <c r="G894" s="80"/>
    </row>
    <row r="895" spans="1:7">
      <c r="A895" s="80"/>
      <c r="B895" s="80"/>
      <c r="C895" s="81"/>
      <c r="D895" s="82"/>
      <c r="E895" s="82"/>
      <c r="G895" s="80"/>
    </row>
    <row r="896" spans="1:7">
      <c r="A896" s="80"/>
      <c r="B896" s="80"/>
      <c r="C896" s="81"/>
      <c r="D896" s="82"/>
      <c r="E896" s="82"/>
      <c r="G896" s="80"/>
    </row>
    <row r="897" spans="1:7">
      <c r="A897" s="80"/>
      <c r="B897" s="80"/>
      <c r="C897" s="81"/>
      <c r="D897" s="82"/>
      <c r="E897" s="82"/>
      <c r="G897" s="80"/>
    </row>
    <row r="898" spans="1:7">
      <c r="A898" s="80"/>
      <c r="B898" s="80"/>
      <c r="C898" s="81"/>
      <c r="D898" s="82"/>
      <c r="E898" s="82"/>
      <c r="G898" s="80"/>
    </row>
    <row r="899" spans="1:7">
      <c r="A899" s="80"/>
      <c r="B899" s="80"/>
      <c r="C899" s="81"/>
      <c r="D899" s="82"/>
      <c r="E899" s="82"/>
      <c r="G899" s="80"/>
    </row>
    <row r="900" spans="1:7">
      <c r="A900" s="80"/>
      <c r="B900" s="80"/>
      <c r="C900" s="81"/>
      <c r="D900" s="82"/>
      <c r="E900" s="82"/>
      <c r="G900" s="80"/>
    </row>
    <row r="901" spans="1:7">
      <c r="A901" s="80"/>
      <c r="B901" s="80"/>
      <c r="C901" s="81"/>
      <c r="D901" s="82"/>
      <c r="E901" s="82"/>
      <c r="G901" s="80"/>
    </row>
    <row r="902" spans="1:7">
      <c r="A902" s="80"/>
      <c r="B902" s="80"/>
      <c r="C902" s="81"/>
      <c r="D902" s="82"/>
      <c r="E902" s="82"/>
      <c r="G902" s="80"/>
    </row>
    <row r="903" spans="1:7">
      <c r="A903" s="80"/>
      <c r="B903" s="80"/>
      <c r="C903" s="81"/>
      <c r="D903" s="82"/>
      <c r="E903" s="82"/>
      <c r="G903" s="80"/>
    </row>
    <row r="904" spans="1:7">
      <c r="A904" s="80"/>
      <c r="B904" s="80"/>
      <c r="C904" s="81"/>
      <c r="D904" s="82"/>
      <c r="E904" s="82"/>
      <c r="G904" s="80"/>
    </row>
    <row r="905" spans="1:7">
      <c r="A905" s="80"/>
      <c r="B905" s="80"/>
      <c r="C905" s="81"/>
      <c r="D905" s="82"/>
      <c r="E905" s="82"/>
      <c r="G905" s="80"/>
    </row>
    <row r="906" spans="1:7">
      <c r="A906" s="80"/>
      <c r="B906" s="80"/>
      <c r="C906" s="81"/>
      <c r="D906" s="82"/>
      <c r="E906" s="82"/>
      <c r="G906" s="80"/>
    </row>
    <row r="907" spans="1:7">
      <c r="A907" s="80"/>
      <c r="B907" s="80"/>
      <c r="C907" s="81"/>
      <c r="D907" s="82"/>
      <c r="E907" s="82"/>
      <c r="G907" s="80"/>
    </row>
    <row r="908" spans="1:7">
      <c r="A908" s="80"/>
      <c r="B908" s="80"/>
      <c r="C908" s="81"/>
      <c r="D908" s="82"/>
      <c r="E908" s="82"/>
      <c r="G908" s="80"/>
    </row>
    <row r="909" spans="1:7">
      <c r="A909" s="80"/>
      <c r="B909" s="80"/>
      <c r="C909" s="81"/>
      <c r="D909" s="82"/>
      <c r="E909" s="82"/>
      <c r="G909" s="80"/>
    </row>
    <row r="910" spans="1:7">
      <c r="A910" s="80"/>
      <c r="B910" s="80"/>
      <c r="C910" s="81"/>
      <c r="D910" s="82"/>
      <c r="E910" s="82"/>
      <c r="G910" s="80"/>
    </row>
    <row r="911" spans="1:7">
      <c r="A911" s="80"/>
      <c r="B911" s="80"/>
      <c r="C911" s="81"/>
      <c r="D911" s="82"/>
      <c r="E911" s="82"/>
      <c r="G911" s="80"/>
    </row>
    <row r="912" spans="1:7">
      <c r="A912" s="80"/>
      <c r="B912" s="80"/>
      <c r="C912" s="81"/>
      <c r="D912" s="82"/>
      <c r="E912" s="82"/>
      <c r="G912" s="80"/>
    </row>
    <row r="913" spans="1:7">
      <c r="A913" s="80"/>
      <c r="B913" s="80"/>
      <c r="C913" s="81"/>
      <c r="D913" s="82"/>
      <c r="E913" s="82"/>
      <c r="G913" s="80"/>
    </row>
    <row r="914" spans="1:7">
      <c r="A914" s="80"/>
      <c r="B914" s="80"/>
      <c r="C914" s="81"/>
      <c r="D914" s="82"/>
      <c r="E914" s="82"/>
      <c r="G914" s="80"/>
    </row>
    <row r="915" spans="1:7">
      <c r="A915" s="80"/>
      <c r="B915" s="80"/>
      <c r="C915" s="81"/>
      <c r="D915" s="82"/>
      <c r="E915" s="82"/>
      <c r="G915" s="80"/>
    </row>
    <row r="916" spans="1:7">
      <c r="A916" s="80"/>
      <c r="B916" s="80"/>
      <c r="C916" s="81"/>
      <c r="D916" s="82"/>
      <c r="E916" s="82"/>
      <c r="G916" s="80"/>
    </row>
    <row r="917" spans="1:7">
      <c r="A917" s="80"/>
      <c r="B917" s="80"/>
      <c r="C917" s="81"/>
      <c r="D917" s="82"/>
      <c r="E917" s="82"/>
      <c r="G917" s="80"/>
    </row>
    <row r="918" spans="1:7">
      <c r="A918" s="80"/>
      <c r="B918" s="80"/>
      <c r="C918" s="81"/>
      <c r="D918" s="82"/>
      <c r="E918" s="82"/>
      <c r="G918" s="80"/>
    </row>
    <row r="919" spans="1:7">
      <c r="A919" s="80"/>
      <c r="B919" s="80"/>
      <c r="C919" s="81"/>
      <c r="D919" s="82"/>
      <c r="E919" s="82"/>
      <c r="G919" s="80"/>
    </row>
    <row r="920" spans="1:7">
      <c r="A920" s="80"/>
      <c r="B920" s="80"/>
      <c r="C920" s="81"/>
      <c r="D920" s="82"/>
      <c r="E920" s="82"/>
      <c r="G920" s="80"/>
    </row>
    <row r="921" spans="1:7">
      <c r="A921" s="80"/>
      <c r="B921" s="80"/>
      <c r="C921" s="81"/>
      <c r="D921" s="82"/>
      <c r="E921" s="82"/>
      <c r="G921" s="80"/>
    </row>
    <row r="922" spans="1:7">
      <c r="A922" s="80"/>
      <c r="B922" s="80"/>
      <c r="C922" s="81"/>
      <c r="D922" s="82"/>
      <c r="E922" s="82"/>
      <c r="G922" s="80"/>
    </row>
    <row r="923" spans="1:7">
      <c r="A923" s="80"/>
      <c r="B923" s="80"/>
      <c r="C923" s="81"/>
      <c r="D923" s="82"/>
      <c r="E923" s="82"/>
      <c r="G923" s="80"/>
    </row>
    <row r="924" spans="1:7">
      <c r="A924" s="80"/>
      <c r="B924" s="80"/>
      <c r="C924" s="81"/>
      <c r="D924" s="82"/>
      <c r="E924" s="82"/>
      <c r="G924" s="80"/>
    </row>
    <row r="925" spans="1:7">
      <c r="A925" s="80"/>
      <c r="B925" s="80"/>
      <c r="C925" s="81"/>
      <c r="D925" s="82"/>
      <c r="E925" s="82"/>
      <c r="G925" s="80"/>
    </row>
    <row r="926" spans="1:7">
      <c r="A926" s="80"/>
      <c r="B926" s="80"/>
      <c r="C926" s="81"/>
      <c r="D926" s="82"/>
      <c r="E926" s="82"/>
      <c r="G926" s="80"/>
    </row>
    <row r="927" spans="1:7">
      <c r="A927" s="80"/>
      <c r="B927" s="80"/>
      <c r="C927" s="81"/>
      <c r="D927" s="82"/>
      <c r="E927" s="82"/>
      <c r="G927" s="80"/>
    </row>
    <row r="928" spans="1:7">
      <c r="A928" s="80"/>
      <c r="B928" s="80"/>
      <c r="C928" s="81"/>
      <c r="D928" s="82"/>
      <c r="E928" s="82"/>
      <c r="G928" s="80"/>
    </row>
    <row r="929" spans="1:7">
      <c r="A929" s="80"/>
      <c r="B929" s="80"/>
      <c r="C929" s="81"/>
      <c r="D929" s="82"/>
      <c r="E929" s="82"/>
      <c r="G929" s="80"/>
    </row>
    <row r="930" spans="1:7">
      <c r="A930" s="80"/>
      <c r="B930" s="80"/>
      <c r="C930" s="81"/>
      <c r="D930" s="82"/>
      <c r="E930" s="82"/>
      <c r="G930" s="80"/>
    </row>
    <row r="931" spans="1:7">
      <c r="A931" s="80"/>
      <c r="B931" s="80"/>
      <c r="C931" s="81"/>
      <c r="D931" s="82"/>
      <c r="E931" s="82"/>
      <c r="G931" s="80"/>
    </row>
    <row r="932" spans="1:7">
      <c r="A932" s="80"/>
      <c r="B932" s="80"/>
      <c r="C932" s="81"/>
      <c r="D932" s="82"/>
      <c r="E932" s="82"/>
      <c r="G932" s="80"/>
    </row>
    <row r="933" spans="1:7">
      <c r="A933" s="80"/>
      <c r="B933" s="80"/>
      <c r="C933" s="81"/>
      <c r="D933" s="82"/>
      <c r="E933" s="82"/>
      <c r="G933" s="80"/>
    </row>
    <row r="934" spans="1:7">
      <c r="A934" s="80"/>
      <c r="B934" s="80"/>
      <c r="C934" s="81"/>
      <c r="D934" s="82"/>
      <c r="E934" s="82"/>
      <c r="G934" s="80"/>
    </row>
    <row r="935" spans="1:7">
      <c r="A935" s="80"/>
      <c r="B935" s="80"/>
      <c r="C935" s="81"/>
      <c r="D935" s="82"/>
      <c r="E935" s="82"/>
      <c r="G935" s="80"/>
    </row>
    <row r="936" spans="1:7">
      <c r="A936" s="80"/>
      <c r="B936" s="80"/>
      <c r="C936" s="81"/>
      <c r="D936" s="82"/>
      <c r="E936" s="82"/>
      <c r="G936" s="80"/>
    </row>
    <row r="937" spans="1:7">
      <c r="A937" s="80"/>
      <c r="B937" s="80"/>
      <c r="C937" s="81"/>
      <c r="D937" s="82"/>
      <c r="E937" s="82"/>
      <c r="G937" s="80"/>
    </row>
    <row r="938" spans="1:7">
      <c r="A938" s="80"/>
      <c r="B938" s="80"/>
      <c r="C938" s="81"/>
      <c r="D938" s="82"/>
      <c r="E938" s="82"/>
      <c r="G938" s="80"/>
    </row>
    <row r="939" spans="1:7">
      <c r="A939" s="80"/>
      <c r="B939" s="80"/>
      <c r="C939" s="81"/>
      <c r="D939" s="82"/>
      <c r="E939" s="82"/>
      <c r="G939" s="80"/>
    </row>
    <row r="940" spans="1:7">
      <c r="A940" s="80"/>
      <c r="B940" s="80"/>
      <c r="C940" s="81"/>
      <c r="D940" s="82"/>
      <c r="E940" s="82"/>
      <c r="G940" s="80"/>
    </row>
    <row r="941" spans="1:7">
      <c r="A941" s="80"/>
      <c r="B941" s="80"/>
      <c r="C941" s="81"/>
      <c r="D941" s="82"/>
      <c r="E941" s="82"/>
      <c r="G941" s="80"/>
    </row>
    <row r="942" spans="1:7">
      <c r="A942" s="80"/>
      <c r="B942" s="80"/>
      <c r="C942" s="81"/>
      <c r="D942" s="82"/>
      <c r="E942" s="82"/>
      <c r="G942" s="80"/>
    </row>
    <row r="943" spans="1:7">
      <c r="A943" s="80"/>
      <c r="B943" s="80"/>
      <c r="C943" s="81"/>
      <c r="D943" s="82"/>
      <c r="E943" s="82"/>
      <c r="G943" s="80"/>
    </row>
    <row r="944" spans="1:7">
      <c r="A944" s="80"/>
      <c r="B944" s="80"/>
      <c r="C944" s="81"/>
      <c r="D944" s="82"/>
      <c r="E944" s="82"/>
      <c r="G944" s="80"/>
    </row>
    <row r="945" spans="1:7">
      <c r="A945" s="80"/>
      <c r="B945" s="80"/>
      <c r="C945" s="81"/>
      <c r="D945" s="82"/>
      <c r="E945" s="82"/>
      <c r="G945" s="80"/>
    </row>
    <row r="946" spans="1:7">
      <c r="A946" s="80"/>
      <c r="B946" s="80"/>
      <c r="C946" s="81"/>
      <c r="D946" s="82"/>
      <c r="E946" s="82"/>
      <c r="G946" s="80"/>
    </row>
    <row r="947" spans="1:7">
      <c r="A947" s="80"/>
      <c r="B947" s="80"/>
      <c r="C947" s="81"/>
      <c r="D947" s="82"/>
      <c r="E947" s="82"/>
      <c r="G947" s="80"/>
    </row>
    <row r="948" spans="1:7">
      <c r="A948" s="80"/>
      <c r="B948" s="80"/>
      <c r="C948" s="81"/>
      <c r="D948" s="82"/>
      <c r="E948" s="82"/>
      <c r="G948" s="80"/>
    </row>
    <row r="949" spans="1:7">
      <c r="A949" s="80"/>
      <c r="B949" s="80"/>
      <c r="C949" s="81"/>
      <c r="D949" s="82"/>
      <c r="E949" s="82"/>
      <c r="G949" s="80"/>
    </row>
    <row r="950" spans="1:7">
      <c r="A950" s="80"/>
      <c r="B950" s="80"/>
      <c r="C950" s="81"/>
      <c r="D950" s="82"/>
      <c r="E950" s="82"/>
      <c r="G950" s="80"/>
    </row>
    <row r="951" spans="1:7">
      <c r="A951" s="80"/>
      <c r="B951" s="80"/>
      <c r="C951" s="81"/>
      <c r="D951" s="82"/>
      <c r="E951" s="82"/>
      <c r="G951" s="80"/>
    </row>
    <row r="952" spans="1:7">
      <c r="A952" s="80"/>
      <c r="B952" s="80"/>
      <c r="C952" s="81"/>
      <c r="D952" s="82"/>
      <c r="E952" s="82"/>
      <c r="G952" s="80"/>
    </row>
    <row r="953" spans="1:7">
      <c r="A953" s="80"/>
      <c r="B953" s="80"/>
      <c r="C953" s="81"/>
      <c r="D953" s="82"/>
      <c r="E953" s="82"/>
      <c r="G953" s="80"/>
    </row>
    <row r="954" spans="1:7">
      <c r="A954" s="80"/>
      <c r="B954" s="80"/>
      <c r="C954" s="81"/>
      <c r="D954" s="82"/>
      <c r="E954" s="82"/>
      <c r="G954" s="80"/>
    </row>
    <row r="955" spans="1:7">
      <c r="A955" s="80"/>
      <c r="B955" s="80"/>
      <c r="C955" s="81"/>
      <c r="D955" s="82"/>
      <c r="E955" s="82"/>
      <c r="G955" s="80"/>
    </row>
    <row r="956" spans="1:7">
      <c r="A956" s="80"/>
      <c r="B956" s="80"/>
      <c r="C956" s="81"/>
      <c r="D956" s="82"/>
      <c r="E956" s="82"/>
      <c r="G956" s="80"/>
    </row>
    <row r="957" spans="1:7">
      <c r="A957" s="80"/>
      <c r="B957" s="80"/>
      <c r="C957" s="81"/>
      <c r="D957" s="82"/>
      <c r="E957" s="82"/>
      <c r="G957" s="80"/>
    </row>
    <row r="958" spans="1:7">
      <c r="A958" s="80"/>
      <c r="B958" s="80"/>
      <c r="C958" s="81"/>
      <c r="D958" s="82"/>
      <c r="E958" s="82"/>
      <c r="G958" s="80"/>
    </row>
    <row r="959" spans="1:7">
      <c r="A959" s="80"/>
      <c r="B959" s="80"/>
      <c r="C959" s="81"/>
      <c r="D959" s="82"/>
      <c r="E959" s="82"/>
      <c r="G959" s="80"/>
    </row>
    <row r="960" spans="1:7">
      <c r="A960" s="80"/>
      <c r="B960" s="80"/>
      <c r="C960" s="81"/>
      <c r="D960" s="82"/>
      <c r="E960" s="82"/>
      <c r="G960" s="80"/>
    </row>
    <row r="961" spans="1:7">
      <c r="A961" s="80"/>
      <c r="B961" s="80"/>
      <c r="C961" s="81"/>
      <c r="D961" s="82"/>
      <c r="E961" s="82"/>
      <c r="G961" s="80"/>
    </row>
    <row r="962" spans="1:7">
      <c r="A962" s="80"/>
      <c r="B962" s="80"/>
      <c r="C962" s="81"/>
      <c r="D962" s="82"/>
      <c r="E962" s="82"/>
      <c r="G962" s="80"/>
    </row>
    <row r="963" spans="1:7">
      <c r="A963" s="80"/>
      <c r="B963" s="80"/>
      <c r="C963" s="81"/>
      <c r="D963" s="82"/>
      <c r="E963" s="82"/>
      <c r="G963" s="80"/>
    </row>
    <row r="964" spans="1:7">
      <c r="A964" s="80"/>
      <c r="B964" s="80"/>
      <c r="C964" s="81"/>
      <c r="D964" s="82"/>
      <c r="E964" s="82"/>
      <c r="G964" s="80"/>
    </row>
    <row r="965" spans="1:7">
      <c r="A965" s="80"/>
      <c r="B965" s="80"/>
      <c r="C965" s="81"/>
      <c r="D965" s="82"/>
      <c r="E965" s="82"/>
      <c r="G965" s="80"/>
    </row>
    <row r="966" spans="1:7">
      <c r="A966" s="80"/>
      <c r="B966" s="80"/>
      <c r="C966" s="81"/>
      <c r="D966" s="82"/>
      <c r="E966" s="82"/>
      <c r="G966" s="80"/>
    </row>
    <row r="967" spans="1:7">
      <c r="A967" s="80"/>
      <c r="B967" s="80"/>
      <c r="C967" s="81"/>
      <c r="D967" s="82"/>
      <c r="E967" s="82"/>
      <c r="G967" s="80"/>
    </row>
    <row r="968" spans="1:7">
      <c r="A968" s="80"/>
      <c r="B968" s="80"/>
      <c r="C968" s="81"/>
      <c r="D968" s="82"/>
      <c r="E968" s="82"/>
      <c r="G968" s="80"/>
    </row>
    <row r="969" spans="1:7">
      <c r="A969" s="80"/>
      <c r="B969" s="80"/>
      <c r="C969" s="81"/>
      <c r="D969" s="82"/>
      <c r="E969" s="82"/>
      <c r="G969" s="80"/>
    </row>
    <row r="970" spans="1:7">
      <c r="A970" s="80"/>
      <c r="B970" s="80"/>
      <c r="C970" s="81"/>
      <c r="D970" s="82"/>
      <c r="E970" s="82"/>
      <c r="G970" s="80"/>
    </row>
    <row r="971" spans="1:7">
      <c r="A971" s="80"/>
      <c r="B971" s="80"/>
      <c r="C971" s="81"/>
      <c r="D971" s="82"/>
      <c r="E971" s="82"/>
      <c r="G971" s="80"/>
    </row>
    <row r="972" spans="1:7">
      <c r="A972" s="80"/>
      <c r="B972" s="80"/>
      <c r="C972" s="81"/>
      <c r="D972" s="82"/>
      <c r="E972" s="82"/>
      <c r="G972" s="80"/>
    </row>
    <row r="973" spans="1:7">
      <c r="A973" s="80"/>
      <c r="B973" s="80"/>
      <c r="C973" s="81"/>
      <c r="D973" s="82"/>
      <c r="E973" s="82"/>
      <c r="G973" s="80"/>
    </row>
    <row r="974" spans="1:7">
      <c r="A974" s="80"/>
      <c r="B974" s="80"/>
      <c r="C974" s="81"/>
      <c r="D974" s="82"/>
      <c r="E974" s="82"/>
      <c r="G974" s="80"/>
    </row>
    <row r="975" spans="1:7">
      <c r="A975" s="80"/>
      <c r="B975" s="80"/>
      <c r="C975" s="81"/>
      <c r="D975" s="82"/>
      <c r="E975" s="82"/>
      <c r="G975" s="80"/>
    </row>
    <row r="976" spans="1:7">
      <c r="A976" s="80"/>
      <c r="B976" s="80"/>
      <c r="C976" s="81"/>
      <c r="D976" s="82"/>
      <c r="E976" s="82"/>
      <c r="G976" s="80"/>
    </row>
    <row r="977" spans="1:7">
      <c r="A977" s="80"/>
      <c r="B977" s="80"/>
      <c r="C977" s="81"/>
      <c r="D977" s="82"/>
      <c r="E977" s="82"/>
      <c r="G977" s="80"/>
    </row>
    <row r="978" spans="1:7">
      <c r="A978" s="80"/>
      <c r="B978" s="80"/>
      <c r="C978" s="81"/>
      <c r="D978" s="82"/>
      <c r="E978" s="82"/>
      <c r="G978" s="80"/>
    </row>
    <row r="979" spans="1:7">
      <c r="A979" s="80"/>
      <c r="B979" s="80"/>
      <c r="C979" s="81"/>
      <c r="D979" s="82"/>
      <c r="E979" s="82"/>
      <c r="G979" s="80"/>
    </row>
    <row r="980" spans="1:7">
      <c r="A980" s="80"/>
      <c r="B980" s="80"/>
      <c r="C980" s="81"/>
      <c r="D980" s="82"/>
      <c r="E980" s="82"/>
      <c r="G980" s="80"/>
    </row>
    <row r="981" spans="1:7">
      <c r="A981" s="80"/>
      <c r="B981" s="80"/>
      <c r="C981" s="81"/>
      <c r="D981" s="82"/>
      <c r="E981" s="82"/>
      <c r="G981" s="80"/>
    </row>
    <row r="982" spans="1:7">
      <c r="A982" s="80"/>
      <c r="B982" s="80"/>
      <c r="C982" s="81"/>
      <c r="D982" s="82"/>
      <c r="E982" s="82"/>
      <c r="G982" s="80"/>
    </row>
    <row r="983" spans="1:7">
      <c r="A983" s="80"/>
      <c r="B983" s="80"/>
      <c r="C983" s="81"/>
      <c r="D983" s="82"/>
      <c r="E983" s="82"/>
      <c r="G983" s="80"/>
    </row>
    <row r="984" spans="1:7">
      <c r="A984" s="80"/>
      <c r="B984" s="80"/>
      <c r="C984" s="81"/>
      <c r="D984" s="82"/>
      <c r="E984" s="82"/>
      <c r="G984" s="80"/>
    </row>
    <row r="985" spans="1:7">
      <c r="A985" s="80"/>
      <c r="B985" s="80"/>
      <c r="C985" s="81"/>
      <c r="D985" s="82"/>
      <c r="E985" s="82"/>
      <c r="G985" s="80"/>
    </row>
    <row r="986" spans="1:7">
      <c r="A986" s="80"/>
      <c r="B986" s="80"/>
      <c r="C986" s="81"/>
      <c r="D986" s="82"/>
      <c r="E986" s="82"/>
      <c r="G986" s="80"/>
    </row>
    <row r="987" spans="1:7">
      <c r="A987" s="80"/>
      <c r="B987" s="80"/>
      <c r="C987" s="81"/>
      <c r="D987" s="82"/>
      <c r="E987" s="82"/>
      <c r="G987" s="80"/>
    </row>
    <row r="988" spans="1:7">
      <c r="A988" s="80"/>
      <c r="B988" s="80"/>
      <c r="C988" s="81"/>
      <c r="D988" s="82"/>
      <c r="E988" s="82"/>
      <c r="G988" s="80"/>
    </row>
    <row r="989" spans="1:7">
      <c r="A989" s="80"/>
      <c r="B989" s="80"/>
      <c r="C989" s="81"/>
      <c r="D989" s="82"/>
      <c r="E989" s="82"/>
      <c r="G989" s="80"/>
    </row>
    <row r="990" spans="1:7">
      <c r="A990" s="80"/>
      <c r="B990" s="80"/>
      <c r="C990" s="81"/>
      <c r="D990" s="82"/>
      <c r="E990" s="82"/>
      <c r="G990" s="80"/>
    </row>
    <row r="991" spans="1:7">
      <c r="A991" s="80"/>
      <c r="B991" s="80"/>
      <c r="C991" s="81"/>
      <c r="D991" s="82"/>
      <c r="E991" s="82"/>
      <c r="G991" s="80"/>
    </row>
    <row r="992" spans="1:7">
      <c r="A992" s="80"/>
      <c r="B992" s="80"/>
      <c r="C992" s="81"/>
      <c r="D992" s="82"/>
      <c r="E992" s="82"/>
      <c r="G992" s="80"/>
    </row>
    <row r="993" spans="1:7">
      <c r="A993" s="80"/>
      <c r="B993" s="80"/>
      <c r="C993" s="81"/>
      <c r="D993" s="82"/>
      <c r="E993" s="82"/>
      <c r="G993" s="80"/>
    </row>
    <row r="994" spans="1:7">
      <c r="A994" s="80"/>
      <c r="B994" s="80"/>
      <c r="C994" s="81"/>
      <c r="D994" s="82"/>
      <c r="E994" s="82"/>
      <c r="G994" s="80"/>
    </row>
    <row r="995" spans="1:7">
      <c r="A995" s="80"/>
      <c r="B995" s="80"/>
      <c r="C995" s="81"/>
      <c r="D995" s="82"/>
      <c r="E995" s="82"/>
      <c r="G995" s="80"/>
    </row>
    <row r="996" spans="1:7">
      <c r="A996" s="80"/>
      <c r="B996" s="80"/>
      <c r="C996" s="81"/>
      <c r="D996" s="82"/>
      <c r="E996" s="82"/>
      <c r="G996" s="80"/>
    </row>
    <row r="997" spans="1:7">
      <c r="A997" s="80"/>
      <c r="B997" s="80"/>
      <c r="C997" s="81"/>
      <c r="D997" s="82"/>
      <c r="E997" s="82"/>
      <c r="G997" s="80"/>
    </row>
    <row r="998" spans="1:7">
      <c r="A998" s="80"/>
      <c r="B998" s="80"/>
      <c r="C998" s="81"/>
      <c r="D998" s="82"/>
      <c r="E998" s="82"/>
      <c r="G998" s="80"/>
    </row>
    <row r="999" spans="1:7">
      <c r="A999" s="80"/>
      <c r="B999" s="80"/>
      <c r="C999" s="81"/>
      <c r="D999" s="82"/>
      <c r="E999" s="82"/>
      <c r="G999" s="80"/>
    </row>
    <row r="1000" spans="1:7">
      <c r="A1000" s="80"/>
      <c r="B1000" s="80"/>
      <c r="C1000" s="81"/>
      <c r="D1000" s="82"/>
      <c r="E1000" s="82"/>
      <c r="G1000" s="80"/>
    </row>
    <row r="1001" spans="1:7">
      <c r="A1001" s="80"/>
      <c r="B1001" s="80"/>
      <c r="C1001" s="81"/>
      <c r="D1001" s="82"/>
      <c r="E1001" s="82"/>
      <c r="G1001" s="80"/>
    </row>
    <row r="1002" spans="1:7">
      <c r="A1002" s="80"/>
      <c r="B1002" s="80"/>
      <c r="C1002" s="81"/>
      <c r="D1002" s="82"/>
      <c r="E1002" s="82"/>
      <c r="G1002" s="80"/>
    </row>
    <row r="1003" spans="1:7">
      <c r="A1003" s="80"/>
      <c r="B1003" s="80"/>
      <c r="C1003" s="81"/>
      <c r="D1003" s="82"/>
      <c r="E1003" s="82"/>
      <c r="G1003" s="80"/>
    </row>
    <row r="1004" spans="1:7">
      <c r="A1004" s="80"/>
      <c r="B1004" s="80"/>
      <c r="C1004" s="81"/>
      <c r="D1004" s="82"/>
      <c r="E1004" s="82"/>
      <c r="G1004" s="80"/>
    </row>
    <row r="1005" spans="1:7">
      <c r="A1005" s="80"/>
      <c r="B1005" s="80"/>
      <c r="C1005" s="81"/>
      <c r="D1005" s="82"/>
      <c r="E1005" s="82"/>
      <c r="G1005" s="80"/>
    </row>
    <row r="1006" spans="1:7">
      <c r="A1006" s="80"/>
      <c r="B1006" s="80"/>
      <c r="C1006" s="81"/>
      <c r="D1006" s="82"/>
      <c r="E1006" s="82"/>
      <c r="G1006" s="80"/>
    </row>
    <row r="1007" spans="1:7">
      <c r="A1007" s="80"/>
      <c r="B1007" s="80"/>
      <c r="C1007" s="81"/>
      <c r="D1007" s="82"/>
      <c r="E1007" s="82"/>
      <c r="G1007" s="80"/>
    </row>
    <row r="1008" spans="1:7">
      <c r="A1008" s="80"/>
      <c r="B1008" s="80"/>
      <c r="C1008" s="81"/>
      <c r="D1008" s="82"/>
      <c r="E1008" s="82"/>
      <c r="G1008" s="80"/>
    </row>
    <row r="1009" spans="1:7">
      <c r="A1009" s="80"/>
      <c r="B1009" s="80"/>
      <c r="C1009" s="81"/>
      <c r="D1009" s="82"/>
      <c r="E1009" s="82"/>
      <c r="G1009" s="80"/>
    </row>
    <row r="1010" spans="1:7">
      <c r="A1010" s="80"/>
      <c r="B1010" s="80"/>
      <c r="C1010" s="81"/>
      <c r="D1010" s="82"/>
      <c r="E1010" s="82"/>
      <c r="G1010" s="80"/>
    </row>
    <row r="1011" spans="1:7">
      <c r="A1011" s="80"/>
      <c r="B1011" s="80"/>
      <c r="C1011" s="81"/>
      <c r="D1011" s="82"/>
      <c r="E1011" s="82"/>
      <c r="G1011" s="80"/>
    </row>
    <row r="1012" spans="1:7">
      <c r="A1012" s="80"/>
      <c r="B1012" s="80"/>
      <c r="C1012" s="81"/>
      <c r="D1012" s="82"/>
      <c r="E1012" s="82"/>
      <c r="G1012" s="80"/>
    </row>
    <row r="1013" spans="1:7">
      <c r="A1013" s="80"/>
      <c r="B1013" s="80"/>
      <c r="C1013" s="81"/>
      <c r="D1013" s="82"/>
      <c r="E1013" s="82"/>
      <c r="G1013" s="80"/>
    </row>
    <row r="1014" spans="1:7">
      <c r="A1014" s="80"/>
      <c r="B1014" s="80"/>
      <c r="C1014" s="81"/>
      <c r="D1014" s="82"/>
      <c r="E1014" s="82"/>
      <c r="G1014" s="80"/>
    </row>
    <row r="1015" spans="1:7">
      <c r="A1015" s="80"/>
      <c r="B1015" s="80"/>
      <c r="C1015" s="81"/>
      <c r="D1015" s="82"/>
      <c r="E1015" s="82"/>
      <c r="G1015" s="80"/>
    </row>
    <row r="1016" spans="1:7">
      <c r="A1016" s="80"/>
      <c r="B1016" s="80"/>
      <c r="C1016" s="81"/>
      <c r="D1016" s="82"/>
      <c r="E1016" s="82"/>
      <c r="G1016" s="80"/>
    </row>
    <row r="1017" spans="1:7">
      <c r="A1017" s="80"/>
      <c r="B1017" s="80"/>
      <c r="C1017" s="81"/>
      <c r="D1017" s="82"/>
      <c r="E1017" s="82"/>
      <c r="G1017" s="80"/>
    </row>
    <row r="1018" spans="1:7">
      <c r="A1018" s="80"/>
      <c r="B1018" s="80"/>
      <c r="C1018" s="81"/>
      <c r="D1018" s="82"/>
      <c r="E1018" s="82"/>
      <c r="G1018" s="80"/>
    </row>
    <row r="1019" spans="1:7">
      <c r="A1019" s="80"/>
      <c r="B1019" s="80"/>
      <c r="C1019" s="81"/>
      <c r="D1019" s="82"/>
      <c r="E1019" s="82"/>
      <c r="G1019" s="80"/>
    </row>
    <row r="1020" spans="1:7">
      <c r="A1020" s="80"/>
      <c r="B1020" s="80"/>
      <c r="C1020" s="81"/>
      <c r="D1020" s="82"/>
      <c r="E1020" s="82"/>
      <c r="G1020" s="80"/>
    </row>
    <row r="1021" spans="1:7">
      <c r="A1021" s="80"/>
      <c r="B1021" s="80"/>
      <c r="C1021" s="81"/>
      <c r="D1021" s="82"/>
      <c r="E1021" s="82"/>
      <c r="G1021" s="80"/>
    </row>
    <row r="1022" spans="1:7">
      <c r="A1022" s="80"/>
      <c r="B1022" s="80"/>
      <c r="C1022" s="81"/>
      <c r="D1022" s="82"/>
      <c r="E1022" s="82"/>
      <c r="G1022" s="80"/>
    </row>
    <row r="1023" spans="1:7">
      <c r="A1023" s="80"/>
      <c r="B1023" s="80"/>
      <c r="C1023" s="81"/>
      <c r="D1023" s="82"/>
      <c r="E1023" s="82"/>
      <c r="G1023" s="80"/>
    </row>
    <row r="1024" spans="1:7">
      <c r="A1024" s="80"/>
      <c r="B1024" s="80"/>
      <c r="C1024" s="81"/>
      <c r="D1024" s="82"/>
      <c r="E1024" s="82"/>
      <c r="G1024" s="80"/>
    </row>
    <row r="1025" spans="1:7">
      <c r="A1025" s="80"/>
      <c r="B1025" s="80"/>
      <c r="C1025" s="81"/>
      <c r="D1025" s="82"/>
      <c r="E1025" s="82"/>
      <c r="G1025" s="80"/>
    </row>
    <row r="1026" spans="1:7">
      <c r="A1026" s="80"/>
      <c r="B1026" s="80"/>
      <c r="C1026" s="81"/>
      <c r="D1026" s="82"/>
      <c r="E1026" s="82"/>
      <c r="G1026" s="80"/>
    </row>
    <row r="1027" spans="1:7">
      <c r="A1027" s="80"/>
      <c r="B1027" s="80"/>
      <c r="C1027" s="81"/>
      <c r="D1027" s="82"/>
      <c r="E1027" s="82"/>
      <c r="G1027" s="80"/>
    </row>
    <row r="1028" spans="1:7">
      <c r="A1028" s="80"/>
      <c r="B1028" s="80"/>
      <c r="C1028" s="81"/>
      <c r="D1028" s="82"/>
      <c r="E1028" s="82"/>
      <c r="G1028" s="80"/>
    </row>
    <row r="1029" spans="1:7">
      <c r="A1029" s="80"/>
      <c r="B1029" s="80"/>
      <c r="C1029" s="81"/>
      <c r="D1029" s="82"/>
      <c r="E1029" s="82"/>
      <c r="G1029" s="80"/>
    </row>
    <row r="1030" spans="1:7">
      <c r="A1030" s="80"/>
      <c r="B1030" s="80"/>
      <c r="C1030" s="81"/>
      <c r="D1030" s="82"/>
      <c r="E1030" s="82"/>
      <c r="G1030" s="80"/>
    </row>
    <row r="1031" spans="1:7">
      <c r="A1031" s="80"/>
      <c r="B1031" s="80"/>
      <c r="C1031" s="81"/>
      <c r="D1031" s="82"/>
      <c r="E1031" s="82"/>
      <c r="G1031" s="80"/>
    </row>
    <row r="1032" spans="1:7">
      <c r="A1032" s="80"/>
      <c r="B1032" s="80"/>
      <c r="C1032" s="81"/>
      <c r="D1032" s="82"/>
      <c r="E1032" s="82"/>
      <c r="G1032" s="80"/>
    </row>
    <row r="1033" spans="1:7">
      <c r="A1033" s="80"/>
      <c r="B1033" s="80"/>
      <c r="C1033" s="81"/>
      <c r="D1033" s="82"/>
      <c r="E1033" s="82"/>
      <c r="G1033" s="80"/>
    </row>
    <row r="1034" spans="1:7">
      <c r="A1034" s="80"/>
      <c r="B1034" s="80"/>
      <c r="C1034" s="81"/>
      <c r="D1034" s="82"/>
      <c r="E1034" s="82"/>
      <c r="G1034" s="80"/>
    </row>
    <row r="1035" spans="1:7">
      <c r="A1035" s="80"/>
      <c r="B1035" s="80"/>
      <c r="C1035" s="81"/>
      <c r="D1035" s="82"/>
      <c r="E1035" s="82"/>
      <c r="G1035" s="80"/>
    </row>
    <row r="1036" spans="1:7">
      <c r="A1036" s="80"/>
      <c r="B1036" s="80"/>
      <c r="C1036" s="81"/>
      <c r="D1036" s="82"/>
      <c r="E1036" s="82"/>
      <c r="G1036" s="80"/>
    </row>
    <row r="1037" spans="1:7">
      <c r="A1037" s="80"/>
      <c r="B1037" s="80"/>
      <c r="C1037" s="81"/>
      <c r="D1037" s="82"/>
      <c r="E1037" s="82"/>
      <c r="G1037" s="80"/>
    </row>
    <row r="1038" spans="1:7">
      <c r="A1038" s="80"/>
      <c r="B1038" s="80"/>
      <c r="C1038" s="81"/>
      <c r="D1038" s="82"/>
      <c r="E1038" s="82"/>
      <c r="G1038" s="80"/>
    </row>
    <row r="1039" spans="1:7">
      <c r="A1039" s="80"/>
      <c r="B1039" s="80"/>
      <c r="C1039" s="81"/>
      <c r="D1039" s="82"/>
      <c r="E1039" s="82"/>
      <c r="G1039" s="80"/>
    </row>
    <row r="1040" spans="1:7">
      <c r="A1040" s="80"/>
      <c r="B1040" s="80"/>
      <c r="C1040" s="81"/>
      <c r="D1040" s="82"/>
      <c r="E1040" s="82"/>
      <c r="G1040" s="80"/>
    </row>
    <row r="1041" spans="1:7">
      <c r="A1041" s="80"/>
      <c r="B1041" s="80"/>
      <c r="C1041" s="81"/>
      <c r="D1041" s="82"/>
      <c r="E1041" s="82"/>
      <c r="G1041" s="80"/>
    </row>
    <row r="1042" spans="1:7">
      <c r="A1042" s="80"/>
      <c r="B1042" s="80"/>
      <c r="C1042" s="81"/>
      <c r="D1042" s="82"/>
      <c r="E1042" s="82"/>
      <c r="G1042" s="80"/>
    </row>
    <row r="1043" spans="1:7">
      <c r="A1043" s="80"/>
      <c r="B1043" s="80"/>
      <c r="C1043" s="81"/>
      <c r="D1043" s="82"/>
      <c r="E1043" s="82"/>
      <c r="G1043" s="80"/>
    </row>
    <row r="1044" spans="1:7">
      <c r="A1044" s="80"/>
      <c r="B1044" s="80"/>
      <c r="C1044" s="81"/>
      <c r="D1044" s="82"/>
      <c r="E1044" s="82"/>
      <c r="G1044" s="80"/>
    </row>
    <row r="1045" spans="1:7">
      <c r="A1045" s="80"/>
      <c r="B1045" s="80"/>
      <c r="C1045" s="81"/>
      <c r="D1045" s="82"/>
      <c r="E1045" s="82"/>
      <c r="G1045" s="80"/>
    </row>
    <row r="1046" spans="1:7">
      <c r="A1046" s="80"/>
      <c r="B1046" s="80"/>
      <c r="C1046" s="81"/>
      <c r="D1046" s="82"/>
      <c r="E1046" s="82"/>
      <c r="G1046" s="80"/>
    </row>
    <row r="1047" spans="1:7">
      <c r="A1047" s="80"/>
      <c r="B1047" s="80"/>
      <c r="C1047" s="81"/>
      <c r="D1047" s="82"/>
      <c r="E1047" s="82"/>
      <c r="G1047" s="80"/>
    </row>
    <row r="1048" spans="1:7">
      <c r="A1048" s="80"/>
      <c r="B1048" s="80"/>
      <c r="C1048" s="81"/>
      <c r="D1048" s="82"/>
      <c r="E1048" s="82"/>
      <c r="G1048" s="80"/>
    </row>
    <row r="1049" spans="1:7">
      <c r="A1049" s="80"/>
      <c r="B1049" s="80"/>
      <c r="C1049" s="81"/>
      <c r="D1049" s="82"/>
      <c r="E1049" s="82"/>
      <c r="G1049" s="80"/>
    </row>
    <row r="1050" spans="1:7">
      <c r="A1050" s="80"/>
      <c r="B1050" s="80"/>
      <c r="C1050" s="81"/>
      <c r="D1050" s="82"/>
      <c r="E1050" s="82"/>
      <c r="G1050" s="80"/>
    </row>
    <row r="1051" spans="1:7">
      <c r="A1051" s="80"/>
      <c r="B1051" s="80"/>
      <c r="C1051" s="81"/>
      <c r="D1051" s="82"/>
      <c r="E1051" s="82"/>
      <c r="G1051" s="80"/>
    </row>
    <row r="1052" spans="1:7">
      <c r="A1052" s="80"/>
      <c r="B1052" s="80"/>
      <c r="C1052" s="81"/>
      <c r="D1052" s="82"/>
      <c r="E1052" s="82"/>
      <c r="G1052" s="80"/>
    </row>
    <row r="1053" spans="1:7">
      <c r="A1053" s="80"/>
      <c r="B1053" s="80"/>
      <c r="C1053" s="81"/>
      <c r="D1053" s="82"/>
      <c r="E1053" s="82"/>
      <c r="G1053" s="80"/>
    </row>
    <row r="1054" spans="1:7">
      <c r="A1054" s="80"/>
      <c r="B1054" s="80"/>
      <c r="C1054" s="81"/>
      <c r="D1054" s="82"/>
      <c r="E1054" s="82"/>
      <c r="G1054" s="80"/>
    </row>
    <row r="1055" spans="1:7">
      <c r="A1055" s="80"/>
      <c r="B1055" s="80"/>
      <c r="C1055" s="81"/>
      <c r="D1055" s="82"/>
      <c r="E1055" s="82"/>
      <c r="G1055" s="80"/>
    </row>
    <row r="1056" spans="1:7">
      <c r="A1056" s="80"/>
      <c r="B1056" s="80"/>
      <c r="C1056" s="81"/>
      <c r="D1056" s="82"/>
      <c r="E1056" s="82"/>
      <c r="G1056" s="80"/>
    </row>
    <row r="1057" spans="1:7">
      <c r="A1057" s="80"/>
      <c r="B1057" s="80"/>
      <c r="C1057" s="81"/>
      <c r="D1057" s="82"/>
      <c r="E1057" s="82"/>
      <c r="G1057" s="80"/>
    </row>
    <row r="1058" spans="1:7">
      <c r="A1058" s="80"/>
      <c r="B1058" s="80"/>
      <c r="C1058" s="81"/>
      <c r="D1058" s="82"/>
      <c r="E1058" s="82"/>
      <c r="G1058" s="80"/>
    </row>
    <row r="1059" spans="1:7">
      <c r="A1059" s="80"/>
      <c r="B1059" s="80"/>
      <c r="C1059" s="81"/>
      <c r="D1059" s="82"/>
      <c r="E1059" s="82"/>
      <c r="G1059" s="80"/>
    </row>
    <row r="1060" spans="1:7">
      <c r="A1060" s="80"/>
      <c r="B1060" s="80"/>
      <c r="C1060" s="81"/>
      <c r="D1060" s="82"/>
      <c r="E1060" s="82"/>
      <c r="G1060" s="80"/>
    </row>
    <row r="1061" spans="1:7">
      <c r="A1061" s="80"/>
      <c r="B1061" s="80"/>
      <c r="C1061" s="81"/>
      <c r="D1061" s="82"/>
      <c r="E1061" s="82"/>
      <c r="G1061" s="80"/>
    </row>
    <row r="1062" spans="1:7">
      <c r="A1062" s="80"/>
      <c r="B1062" s="80"/>
      <c r="C1062" s="81"/>
      <c r="D1062" s="82"/>
      <c r="E1062" s="82"/>
      <c r="G1062" s="80"/>
    </row>
    <row r="1063" spans="1:7">
      <c r="A1063" s="80"/>
      <c r="B1063" s="80"/>
      <c r="C1063" s="81"/>
      <c r="D1063" s="82"/>
      <c r="E1063" s="82"/>
      <c r="G1063" s="80"/>
    </row>
    <row r="1064" spans="1:7">
      <c r="A1064" s="80"/>
      <c r="B1064" s="80"/>
      <c r="C1064" s="81"/>
      <c r="D1064" s="82"/>
      <c r="E1064" s="82"/>
      <c r="G1064" s="80"/>
    </row>
    <row r="1065" spans="1:7">
      <c r="A1065" s="80"/>
      <c r="B1065" s="80"/>
      <c r="C1065" s="81"/>
      <c r="D1065" s="82"/>
      <c r="E1065" s="82"/>
      <c r="G1065" s="80"/>
    </row>
    <row r="1066" spans="1:7">
      <c r="A1066" s="80"/>
      <c r="B1066" s="80"/>
      <c r="C1066" s="81"/>
      <c r="D1066" s="82"/>
      <c r="E1066" s="82"/>
      <c r="G1066" s="80"/>
    </row>
    <row r="1067" spans="1:7">
      <c r="A1067" s="80"/>
      <c r="B1067" s="80"/>
      <c r="C1067" s="81"/>
      <c r="D1067" s="82"/>
      <c r="E1067" s="82"/>
      <c r="G1067" s="80"/>
    </row>
    <row r="1068" spans="1:7">
      <c r="A1068" s="80"/>
      <c r="B1068" s="80"/>
      <c r="C1068" s="81"/>
      <c r="D1068" s="82"/>
      <c r="E1068" s="82"/>
      <c r="G1068" s="80"/>
    </row>
    <row r="1069" spans="1:7">
      <c r="A1069" s="80"/>
      <c r="B1069" s="80"/>
      <c r="C1069" s="81"/>
      <c r="D1069" s="82"/>
      <c r="E1069" s="82"/>
      <c r="G1069" s="80"/>
    </row>
    <row r="1070" spans="1:7">
      <c r="A1070" s="80"/>
      <c r="B1070" s="80"/>
      <c r="C1070" s="81"/>
      <c r="D1070" s="82"/>
      <c r="E1070" s="82"/>
      <c r="G1070" s="80"/>
    </row>
    <row r="1071" spans="1:7">
      <c r="A1071" s="80"/>
      <c r="B1071" s="80"/>
      <c r="C1071" s="81"/>
      <c r="D1071" s="82"/>
      <c r="E1071" s="82"/>
      <c r="G1071" s="80"/>
    </row>
    <row r="1072" spans="1:7">
      <c r="A1072" s="80"/>
      <c r="B1072" s="80"/>
      <c r="C1072" s="81"/>
      <c r="D1072" s="82"/>
      <c r="E1072" s="82"/>
      <c r="G1072" s="80"/>
    </row>
    <row r="1073" spans="1:7">
      <c r="A1073" s="80"/>
      <c r="B1073" s="80"/>
      <c r="C1073" s="81"/>
      <c r="D1073" s="82"/>
      <c r="E1073" s="82"/>
      <c r="G1073" s="80"/>
    </row>
    <row r="1074" spans="1:7">
      <c r="A1074" s="80"/>
      <c r="B1074" s="80"/>
      <c r="C1074" s="81"/>
      <c r="D1074" s="82"/>
      <c r="E1074" s="82"/>
      <c r="G1074" s="80"/>
    </row>
    <row r="1075" spans="1:7">
      <c r="A1075" s="80"/>
      <c r="B1075" s="80"/>
      <c r="C1075" s="81"/>
      <c r="D1075" s="82"/>
      <c r="E1075" s="82"/>
      <c r="G1075" s="80"/>
    </row>
    <row r="1076" spans="1:7">
      <c r="A1076" s="80"/>
      <c r="B1076" s="80"/>
      <c r="C1076" s="81"/>
      <c r="D1076" s="82"/>
      <c r="E1076" s="82"/>
      <c r="G1076" s="80"/>
    </row>
    <row r="1077" spans="1:7">
      <c r="A1077" s="80"/>
      <c r="B1077" s="80"/>
      <c r="C1077" s="81"/>
      <c r="D1077" s="82"/>
      <c r="E1077" s="82"/>
      <c r="G1077" s="80"/>
    </row>
    <row r="1078" spans="1:7">
      <c r="A1078" s="80"/>
      <c r="B1078" s="80"/>
      <c r="C1078" s="81"/>
      <c r="D1078" s="82"/>
      <c r="E1078" s="82"/>
      <c r="G1078" s="80"/>
    </row>
    <row r="1079" spans="1:7">
      <c r="A1079" s="80"/>
      <c r="B1079" s="80"/>
      <c r="C1079" s="81"/>
      <c r="D1079" s="82"/>
      <c r="E1079" s="82"/>
      <c r="G1079" s="80"/>
    </row>
    <row r="1080" spans="1:7">
      <c r="A1080" s="80"/>
      <c r="B1080" s="80"/>
      <c r="C1080" s="81"/>
      <c r="D1080" s="82"/>
      <c r="E1080" s="82"/>
      <c r="G1080" s="80"/>
    </row>
    <row r="1081" spans="1:7">
      <c r="A1081" s="80"/>
      <c r="B1081" s="80"/>
      <c r="C1081" s="81"/>
      <c r="D1081" s="82"/>
      <c r="E1081" s="82"/>
      <c r="G1081" s="80"/>
    </row>
    <row r="1082" spans="1:7">
      <c r="A1082" s="80"/>
      <c r="B1082" s="80"/>
      <c r="C1082" s="81"/>
      <c r="D1082" s="82"/>
      <c r="E1082" s="82"/>
      <c r="G1082" s="80"/>
    </row>
    <row r="1083" spans="1:7">
      <c r="A1083" s="80"/>
      <c r="B1083" s="80"/>
      <c r="C1083" s="81"/>
      <c r="D1083" s="82"/>
      <c r="E1083" s="82"/>
      <c r="G1083" s="80"/>
    </row>
    <row r="1084" spans="1:7">
      <c r="A1084" s="80"/>
      <c r="B1084" s="80"/>
      <c r="C1084" s="81"/>
      <c r="D1084" s="82"/>
      <c r="E1084" s="82"/>
      <c r="G1084" s="80"/>
    </row>
    <row r="1085" spans="1:7">
      <c r="A1085" s="80"/>
      <c r="B1085" s="80"/>
      <c r="C1085" s="81"/>
      <c r="D1085" s="82"/>
      <c r="E1085" s="82"/>
      <c r="G1085" s="80"/>
    </row>
    <row r="1086" spans="1:7">
      <c r="A1086" s="80"/>
      <c r="B1086" s="80"/>
      <c r="C1086" s="81"/>
      <c r="D1086" s="82"/>
      <c r="E1086" s="82"/>
      <c r="G1086" s="80"/>
    </row>
    <row r="1087" spans="1:7">
      <c r="A1087" s="80"/>
      <c r="B1087" s="80"/>
      <c r="C1087" s="81"/>
      <c r="D1087" s="82"/>
      <c r="E1087" s="82"/>
      <c r="G1087" s="80"/>
    </row>
    <row r="1088" spans="1:7">
      <c r="A1088" s="80"/>
      <c r="B1088" s="80"/>
      <c r="C1088" s="81"/>
      <c r="D1088" s="82"/>
      <c r="E1088" s="82"/>
      <c r="G1088" s="80"/>
    </row>
    <row r="1089" spans="1:7">
      <c r="A1089" s="80"/>
      <c r="B1089" s="80"/>
      <c r="C1089" s="81"/>
      <c r="D1089" s="82"/>
      <c r="E1089" s="82"/>
      <c r="G1089" s="80"/>
    </row>
    <row r="1090" spans="1:7">
      <c r="A1090" s="80"/>
      <c r="B1090" s="80"/>
      <c r="C1090" s="81"/>
      <c r="D1090" s="82"/>
      <c r="E1090" s="82"/>
      <c r="G1090" s="80"/>
    </row>
    <row r="1091" spans="1:7">
      <c r="A1091" s="80"/>
      <c r="B1091" s="80"/>
      <c r="C1091" s="81"/>
      <c r="D1091" s="82"/>
      <c r="E1091" s="82"/>
      <c r="G1091" s="80"/>
    </row>
    <row r="1092" spans="1:7">
      <c r="A1092" s="80"/>
      <c r="B1092" s="80"/>
      <c r="C1092" s="81"/>
      <c r="D1092" s="82"/>
      <c r="E1092" s="82"/>
      <c r="G1092" s="80"/>
    </row>
    <row r="1093" spans="1:7">
      <c r="A1093" s="80"/>
      <c r="B1093" s="80"/>
      <c r="C1093" s="81"/>
      <c r="D1093" s="82"/>
      <c r="E1093" s="82"/>
      <c r="G1093" s="80"/>
    </row>
    <row r="1094" spans="1:7">
      <c r="A1094" s="80"/>
      <c r="B1094" s="80"/>
      <c r="C1094" s="81"/>
      <c r="D1094" s="82"/>
      <c r="E1094" s="82"/>
      <c r="G1094" s="80"/>
    </row>
    <row r="1095" spans="1:7">
      <c r="A1095" s="80"/>
      <c r="B1095" s="80"/>
      <c r="C1095" s="81"/>
      <c r="D1095" s="82"/>
      <c r="E1095" s="82"/>
      <c r="G1095" s="80"/>
    </row>
    <row r="1096" spans="1:7">
      <c r="A1096" s="80"/>
      <c r="B1096" s="80"/>
      <c r="C1096" s="81"/>
      <c r="D1096" s="82"/>
      <c r="E1096" s="82"/>
      <c r="G1096" s="80"/>
    </row>
    <row r="1097" spans="1:7">
      <c r="A1097" s="80"/>
      <c r="B1097" s="80"/>
      <c r="C1097" s="81"/>
      <c r="D1097" s="82"/>
      <c r="E1097" s="82"/>
      <c r="G1097" s="80"/>
    </row>
    <row r="1098" spans="1:7">
      <c r="A1098" s="80"/>
      <c r="B1098" s="80"/>
      <c r="C1098" s="81"/>
      <c r="D1098" s="82"/>
      <c r="E1098" s="82"/>
      <c r="G1098" s="80"/>
    </row>
    <row r="1099" spans="1:7">
      <c r="A1099" s="80"/>
      <c r="B1099" s="80"/>
      <c r="C1099" s="81"/>
      <c r="D1099" s="82"/>
      <c r="E1099" s="82"/>
      <c r="G1099" s="80"/>
    </row>
    <row r="1100" spans="1:7">
      <c r="A1100" s="80"/>
      <c r="B1100" s="80"/>
      <c r="C1100" s="81"/>
      <c r="D1100" s="82"/>
      <c r="E1100" s="82"/>
      <c r="G1100" s="80"/>
    </row>
    <row r="1101" spans="1:7">
      <c r="A1101" s="80"/>
      <c r="B1101" s="80"/>
      <c r="C1101" s="81"/>
      <c r="D1101" s="82"/>
      <c r="E1101" s="82"/>
      <c r="G1101" s="80"/>
    </row>
    <row r="1102" spans="1:7">
      <c r="A1102" s="80"/>
      <c r="B1102" s="80"/>
      <c r="C1102" s="81"/>
      <c r="D1102" s="82"/>
      <c r="E1102" s="82"/>
      <c r="G1102" s="80"/>
    </row>
    <row r="1103" spans="1:7">
      <c r="A1103" s="80"/>
      <c r="B1103" s="80"/>
      <c r="C1103" s="81"/>
      <c r="D1103" s="82"/>
      <c r="E1103" s="82"/>
      <c r="G1103" s="80"/>
    </row>
    <row r="1104" spans="1:7">
      <c r="A1104" s="80"/>
      <c r="B1104" s="80"/>
      <c r="C1104" s="81"/>
      <c r="D1104" s="82"/>
      <c r="E1104" s="82"/>
      <c r="G1104" s="80"/>
    </row>
    <row r="1105" spans="1:7">
      <c r="A1105" s="80"/>
      <c r="B1105" s="80"/>
      <c r="C1105" s="81"/>
      <c r="D1105" s="82"/>
      <c r="E1105" s="82"/>
      <c r="G1105" s="80"/>
    </row>
    <row r="1106" spans="1:7">
      <c r="A1106" s="80"/>
      <c r="B1106" s="80"/>
      <c r="C1106" s="81"/>
      <c r="D1106" s="82"/>
      <c r="E1106" s="82"/>
      <c r="G1106" s="80"/>
    </row>
    <row r="1107" spans="1:7">
      <c r="A1107" s="80"/>
      <c r="B1107" s="80"/>
      <c r="C1107" s="81"/>
      <c r="D1107" s="82"/>
      <c r="E1107" s="82"/>
      <c r="G1107" s="80"/>
    </row>
    <row r="1108" spans="1:7">
      <c r="A1108" s="80"/>
      <c r="B1108" s="80"/>
      <c r="C1108" s="81"/>
      <c r="D1108" s="82"/>
      <c r="E1108" s="82"/>
      <c r="G1108" s="80"/>
    </row>
    <row r="1109" spans="1:7">
      <c r="A1109" s="80"/>
      <c r="B1109" s="80"/>
      <c r="C1109" s="81"/>
      <c r="D1109" s="82"/>
      <c r="E1109" s="82"/>
      <c r="G1109" s="80"/>
    </row>
    <row r="1110" spans="1:7">
      <c r="A1110" s="80"/>
      <c r="B1110" s="80"/>
      <c r="C1110" s="81"/>
      <c r="D1110" s="82"/>
      <c r="E1110" s="82"/>
      <c r="G1110" s="80"/>
    </row>
    <row r="1111" spans="1:7">
      <c r="A1111" s="80"/>
      <c r="B1111" s="80"/>
      <c r="C1111" s="81"/>
      <c r="D1111" s="82"/>
      <c r="E1111" s="82"/>
      <c r="G1111" s="80"/>
    </row>
    <row r="1112" spans="1:7">
      <c r="A1112" s="80"/>
      <c r="B1112" s="80"/>
      <c r="C1112" s="81"/>
      <c r="D1112" s="82"/>
      <c r="E1112" s="82"/>
      <c r="G1112" s="80"/>
    </row>
    <row r="1113" spans="1:7">
      <c r="A1113" s="80"/>
      <c r="B1113" s="80"/>
      <c r="C1113" s="81"/>
      <c r="D1113" s="82"/>
      <c r="E1113" s="82"/>
      <c r="G1113" s="80"/>
    </row>
    <row r="1114" spans="1:7">
      <c r="A1114" s="80"/>
      <c r="B1114" s="80"/>
      <c r="C1114" s="81"/>
      <c r="D1114" s="82"/>
      <c r="E1114" s="82"/>
      <c r="G1114" s="80"/>
    </row>
    <row r="1115" spans="1:7">
      <c r="A1115" s="80"/>
      <c r="B1115" s="80"/>
      <c r="C1115" s="81"/>
      <c r="D1115" s="82"/>
      <c r="E1115" s="82"/>
      <c r="G1115" s="80"/>
    </row>
    <row r="1116" spans="1:7">
      <c r="A1116" s="80"/>
      <c r="B1116" s="80"/>
      <c r="C1116" s="81"/>
      <c r="D1116" s="82"/>
      <c r="E1116" s="82"/>
      <c r="G1116" s="80"/>
    </row>
    <row r="1117" spans="1:7">
      <c r="A1117" s="80"/>
      <c r="B1117" s="80"/>
      <c r="C1117" s="81"/>
      <c r="D1117" s="82"/>
      <c r="E1117" s="82"/>
      <c r="G1117" s="80"/>
    </row>
    <row r="1118" spans="1:7">
      <c r="A1118" s="80"/>
      <c r="B1118" s="80"/>
      <c r="C1118" s="81"/>
      <c r="D1118" s="82"/>
      <c r="E1118" s="82"/>
      <c r="G1118" s="80"/>
    </row>
    <row r="1119" spans="1:7">
      <c r="A1119" s="80"/>
      <c r="B1119" s="80"/>
      <c r="C1119" s="81"/>
      <c r="D1119" s="82"/>
      <c r="E1119" s="82"/>
      <c r="G1119" s="80"/>
    </row>
    <row r="1120" spans="1:7">
      <c r="A1120" s="80"/>
      <c r="B1120" s="80"/>
      <c r="C1120" s="81"/>
      <c r="D1120" s="82"/>
      <c r="E1120" s="82"/>
      <c r="G1120" s="80"/>
    </row>
    <row r="1121" spans="1:7">
      <c r="A1121" s="80"/>
      <c r="B1121" s="80"/>
      <c r="C1121" s="81"/>
      <c r="D1121" s="82"/>
      <c r="E1121" s="82"/>
      <c r="G1121" s="80"/>
    </row>
    <row r="1122" spans="1:7">
      <c r="A1122" s="80"/>
      <c r="B1122" s="80"/>
      <c r="C1122" s="81"/>
      <c r="D1122" s="82"/>
      <c r="E1122" s="82"/>
      <c r="G1122" s="80"/>
    </row>
    <row r="1123" spans="1:7">
      <c r="A1123" s="80"/>
      <c r="B1123" s="80"/>
      <c r="C1123" s="81"/>
      <c r="D1123" s="82"/>
      <c r="E1123" s="82"/>
      <c r="G1123" s="80"/>
    </row>
    <row r="1124" spans="1:7">
      <c r="A1124" s="80"/>
      <c r="B1124" s="80"/>
      <c r="C1124" s="81"/>
      <c r="D1124" s="82"/>
      <c r="E1124" s="82"/>
      <c r="G1124" s="80"/>
    </row>
    <row r="1125" spans="1:7">
      <c r="A1125" s="80"/>
      <c r="B1125" s="80"/>
      <c r="C1125" s="81"/>
      <c r="D1125" s="82"/>
      <c r="E1125" s="82"/>
      <c r="G1125" s="80"/>
    </row>
    <row r="1126" spans="1:7">
      <c r="A1126" s="80"/>
      <c r="B1126" s="80"/>
      <c r="C1126" s="81"/>
      <c r="D1126" s="82"/>
      <c r="E1126" s="82"/>
      <c r="G1126" s="80"/>
    </row>
    <row r="1127" spans="1:7">
      <c r="A1127" s="80"/>
      <c r="B1127" s="80"/>
      <c r="C1127" s="81"/>
      <c r="D1127" s="82"/>
      <c r="E1127" s="82"/>
      <c r="G1127" s="80"/>
    </row>
    <row r="1128" spans="1:7">
      <c r="A1128" s="80"/>
      <c r="B1128" s="80"/>
      <c r="C1128" s="81"/>
      <c r="D1128" s="82"/>
      <c r="E1128" s="82"/>
      <c r="G1128" s="80"/>
    </row>
    <row r="1129" spans="1:7">
      <c r="A1129" s="80"/>
      <c r="B1129" s="80"/>
      <c r="C1129" s="81"/>
      <c r="D1129" s="82"/>
      <c r="E1129" s="82"/>
      <c r="G1129" s="80"/>
    </row>
    <row r="1130" spans="1:7">
      <c r="A1130" s="80"/>
      <c r="B1130" s="80"/>
      <c r="C1130" s="81"/>
      <c r="D1130" s="82"/>
      <c r="E1130" s="82"/>
      <c r="G1130" s="80"/>
    </row>
    <row r="1131" spans="1:7">
      <c r="A1131" s="80"/>
      <c r="B1131" s="80"/>
      <c r="C1131" s="81"/>
      <c r="D1131" s="82"/>
      <c r="E1131" s="82"/>
      <c r="G1131" s="80"/>
    </row>
    <row r="1132" spans="1:7">
      <c r="A1132" s="80"/>
      <c r="B1132" s="80"/>
      <c r="C1132" s="81"/>
      <c r="D1132" s="82"/>
      <c r="E1132" s="82"/>
      <c r="G1132" s="80"/>
    </row>
    <row r="1133" spans="1:7">
      <c r="A1133" s="80"/>
      <c r="B1133" s="80"/>
      <c r="C1133" s="81"/>
      <c r="D1133" s="82"/>
      <c r="E1133" s="82"/>
      <c r="G1133" s="80"/>
    </row>
    <row r="1134" spans="1:7">
      <c r="A1134" s="80"/>
      <c r="B1134" s="80"/>
      <c r="C1134" s="81"/>
      <c r="D1134" s="82"/>
      <c r="E1134" s="82"/>
      <c r="G1134" s="80"/>
    </row>
    <row r="1135" spans="1:7">
      <c r="A1135" s="80"/>
      <c r="B1135" s="80"/>
      <c r="C1135" s="81"/>
      <c r="D1135" s="82"/>
      <c r="E1135" s="82"/>
      <c r="G1135" s="80"/>
    </row>
    <row r="1136" spans="1:7">
      <c r="A1136" s="80"/>
      <c r="B1136" s="80"/>
      <c r="C1136" s="81"/>
      <c r="D1136" s="82"/>
      <c r="E1136" s="82"/>
      <c r="G1136" s="80"/>
    </row>
    <row r="1137" spans="1:7">
      <c r="A1137" s="80"/>
      <c r="B1137" s="80"/>
      <c r="C1137" s="81"/>
      <c r="D1137" s="82"/>
      <c r="E1137" s="82"/>
      <c r="G1137" s="80"/>
    </row>
    <row r="1138" spans="1:7">
      <c r="A1138" s="80"/>
      <c r="B1138" s="80"/>
      <c r="C1138" s="81"/>
      <c r="D1138" s="82"/>
      <c r="E1138" s="82"/>
      <c r="G1138" s="80"/>
    </row>
    <row r="1139" spans="1:7">
      <c r="A1139" s="80"/>
      <c r="B1139" s="80"/>
      <c r="C1139" s="81"/>
      <c r="D1139" s="82"/>
      <c r="E1139" s="82"/>
      <c r="G1139" s="80"/>
    </row>
    <row r="1140" spans="1:7">
      <c r="A1140" s="80"/>
      <c r="B1140" s="80"/>
      <c r="C1140" s="81"/>
      <c r="D1140" s="82"/>
      <c r="E1140" s="82"/>
      <c r="G1140" s="80"/>
    </row>
    <row r="1141" spans="1:7">
      <c r="A1141" s="80"/>
      <c r="B1141" s="80"/>
      <c r="C1141" s="81"/>
      <c r="D1141" s="82"/>
      <c r="E1141" s="82"/>
      <c r="G1141" s="80"/>
    </row>
    <row r="1142" spans="1:7">
      <c r="A1142" s="80"/>
      <c r="B1142" s="80"/>
      <c r="C1142" s="81"/>
      <c r="D1142" s="82"/>
      <c r="E1142" s="82"/>
      <c r="G1142" s="80"/>
    </row>
    <row r="1143" spans="1:7">
      <c r="A1143" s="80"/>
      <c r="B1143" s="80"/>
      <c r="C1143" s="81"/>
      <c r="D1143" s="82"/>
      <c r="E1143" s="82"/>
      <c r="G1143" s="80"/>
    </row>
    <row r="1144" spans="1:7">
      <c r="A1144" s="80"/>
      <c r="B1144" s="80"/>
      <c r="C1144" s="81"/>
      <c r="D1144" s="82"/>
      <c r="E1144" s="82"/>
      <c r="G1144" s="80"/>
    </row>
    <row r="1145" spans="1:7">
      <c r="A1145" s="80"/>
      <c r="B1145" s="80"/>
      <c r="C1145" s="81"/>
      <c r="D1145" s="82"/>
      <c r="E1145" s="82"/>
      <c r="G1145" s="80"/>
    </row>
    <row r="1146" spans="1:7">
      <c r="A1146" s="80"/>
      <c r="B1146" s="80"/>
      <c r="C1146" s="81"/>
      <c r="D1146" s="82"/>
      <c r="E1146" s="82"/>
      <c r="G1146" s="80"/>
    </row>
    <row r="1147" spans="1:7">
      <c r="A1147" s="80"/>
      <c r="B1147" s="80"/>
      <c r="C1147" s="81"/>
      <c r="D1147" s="82"/>
      <c r="E1147" s="82"/>
      <c r="G1147" s="80"/>
    </row>
    <row r="1148" spans="1:7">
      <c r="A1148" s="80"/>
      <c r="B1148" s="80"/>
      <c r="C1148" s="81"/>
      <c r="D1148" s="82"/>
      <c r="E1148" s="82"/>
      <c r="G1148" s="80"/>
    </row>
    <row r="1149" spans="1:7">
      <c r="A1149" s="80"/>
      <c r="B1149" s="80"/>
      <c r="C1149" s="81"/>
      <c r="D1149" s="82"/>
      <c r="E1149" s="82"/>
      <c r="G1149" s="80"/>
    </row>
    <row r="1150" spans="1:7">
      <c r="A1150" s="80"/>
      <c r="B1150" s="80"/>
      <c r="C1150" s="81"/>
      <c r="D1150" s="82"/>
      <c r="E1150" s="82"/>
      <c r="G1150" s="80"/>
    </row>
    <row r="1151" spans="1:7">
      <c r="A1151" s="80"/>
      <c r="B1151" s="80"/>
      <c r="C1151" s="81"/>
      <c r="D1151" s="82"/>
      <c r="E1151" s="82"/>
      <c r="G1151" s="80"/>
    </row>
    <row r="1152" spans="1:7">
      <c r="A1152" s="80"/>
      <c r="B1152" s="80"/>
      <c r="C1152" s="81"/>
      <c r="D1152" s="82"/>
      <c r="E1152" s="82"/>
      <c r="G1152" s="80"/>
    </row>
    <row r="1153" spans="1:7">
      <c r="A1153" s="80"/>
      <c r="B1153" s="80"/>
      <c r="C1153" s="81"/>
      <c r="D1153" s="82"/>
      <c r="E1153" s="82"/>
      <c r="G1153" s="80"/>
    </row>
    <row r="1154" spans="1:7">
      <c r="A1154" s="80"/>
      <c r="B1154" s="80"/>
      <c r="C1154" s="81"/>
      <c r="D1154" s="82"/>
      <c r="E1154" s="82"/>
      <c r="G1154" s="80"/>
    </row>
    <row r="1155" spans="1:7">
      <c r="A1155" s="80"/>
      <c r="B1155" s="80"/>
      <c r="C1155" s="81"/>
      <c r="D1155" s="82"/>
      <c r="E1155" s="82"/>
      <c r="G1155" s="80"/>
    </row>
    <row r="1156" spans="1:7">
      <c r="A1156" s="80"/>
      <c r="B1156" s="80"/>
      <c r="C1156" s="81"/>
      <c r="D1156" s="82"/>
      <c r="E1156" s="82"/>
      <c r="G1156" s="80"/>
    </row>
    <row r="1157" spans="1:7">
      <c r="A1157" s="80"/>
      <c r="B1157" s="80"/>
      <c r="C1157" s="81"/>
      <c r="D1157" s="82"/>
      <c r="E1157" s="82"/>
      <c r="G1157" s="80"/>
    </row>
    <row r="1158" spans="1:7">
      <c r="A1158" s="80"/>
      <c r="B1158" s="80"/>
      <c r="C1158" s="81"/>
      <c r="D1158" s="82"/>
      <c r="E1158" s="82"/>
      <c r="G1158" s="80"/>
    </row>
    <row r="1159" spans="1:7">
      <c r="A1159" s="80"/>
      <c r="B1159" s="80"/>
      <c r="C1159" s="81"/>
      <c r="D1159" s="82"/>
      <c r="E1159" s="82"/>
      <c r="G1159" s="80"/>
    </row>
    <row r="1160" spans="1:7">
      <c r="A1160" s="80"/>
      <c r="B1160" s="80"/>
      <c r="C1160" s="81"/>
      <c r="D1160" s="82"/>
      <c r="E1160" s="82"/>
      <c r="G1160" s="80"/>
    </row>
    <row r="1161" spans="1:7">
      <c r="A1161" s="80"/>
      <c r="B1161" s="80"/>
      <c r="C1161" s="81"/>
      <c r="D1161" s="82"/>
      <c r="E1161" s="82"/>
      <c r="G1161" s="80"/>
    </row>
  </sheetData>
  <mergeCells count="7">
    <mergeCell ref="A1:E1"/>
    <mergeCell ref="A3:E3"/>
    <mergeCell ref="A4:A5"/>
    <mergeCell ref="B4:B5"/>
    <mergeCell ref="C4:C5"/>
    <mergeCell ref="D4:D5"/>
    <mergeCell ref="E4:E5"/>
  </mergeCells>
  <pageMargins left="0.78740157480314965" right="0.19685039370078741" top="0.19685039370078741" bottom="0.19685039370078741" header="0.31496062992125984" footer="0.31496062992125984"/>
  <pageSetup paperSize="9" scale="69" fitToHeight="0" orientation="portrait" r:id="rId1"/>
  <rowBreaks count="1" manualBreakCount="1">
    <brk id="508" max="4" man="1"/>
  </rowBreaks>
</worksheet>
</file>

<file path=xl/worksheets/sheet9.xml><?xml version="1.0" encoding="utf-8"?>
<worksheet xmlns="http://schemas.openxmlformats.org/spreadsheetml/2006/main" xmlns:r="http://schemas.openxmlformats.org/officeDocument/2006/relationships">
  <dimension ref="A1:I10"/>
  <sheetViews>
    <sheetView topLeftCell="A2" zoomScale="90" zoomScaleNormal="90" workbookViewId="0">
      <selection activeCell="H7" sqref="H7:H9"/>
    </sheetView>
  </sheetViews>
  <sheetFormatPr defaultColWidth="8.85546875" defaultRowHeight="15.75"/>
  <cols>
    <col min="1" max="1" width="55.28515625" style="3" customWidth="1"/>
    <col min="2" max="2" width="15" style="3" customWidth="1"/>
    <col min="3" max="3" width="12" style="3" customWidth="1"/>
    <col min="4" max="4" width="11.85546875" style="3" customWidth="1"/>
    <col min="5" max="5" width="45.5703125" style="3" customWidth="1"/>
    <col min="6" max="6" width="6.28515625" style="3" customWidth="1"/>
    <col min="7" max="8" width="13.28515625" style="3" customWidth="1"/>
    <col min="9" max="9" width="13" style="3" customWidth="1"/>
    <col min="10" max="16384" width="8.85546875" style="3"/>
  </cols>
  <sheetData>
    <row r="1" spans="1:9" ht="46.9" customHeight="1">
      <c r="A1" s="235" t="s">
        <v>64</v>
      </c>
      <c r="B1" s="235" t="s">
        <v>64</v>
      </c>
      <c r="C1" s="235" t="s">
        <v>64</v>
      </c>
      <c r="D1" s="235" t="s">
        <v>64</v>
      </c>
      <c r="E1" s="235" t="s">
        <v>64</v>
      </c>
      <c r="F1" s="438" t="s">
        <v>445</v>
      </c>
      <c r="G1" s="438"/>
      <c r="H1" s="438"/>
      <c r="I1" s="438"/>
    </row>
    <row r="2" spans="1:9" ht="19.149999999999999" customHeight="1">
      <c r="A2" s="235"/>
      <c r="B2" s="235"/>
      <c r="C2" s="235"/>
      <c r="D2" s="235"/>
      <c r="E2" s="235"/>
      <c r="F2" s="235"/>
      <c r="G2" s="235"/>
      <c r="H2" s="235"/>
      <c r="I2" s="235"/>
    </row>
    <row r="3" spans="1:9" ht="49.9" customHeight="1">
      <c r="A3" s="439" t="s">
        <v>446</v>
      </c>
      <c r="B3" s="439"/>
      <c r="C3" s="439"/>
      <c r="D3" s="439"/>
      <c r="E3" s="439"/>
      <c r="F3" s="439"/>
      <c r="G3" s="439"/>
      <c r="H3" s="439"/>
      <c r="I3" s="439"/>
    </row>
    <row r="4" spans="1:9" ht="63.6" customHeight="1">
      <c r="A4" s="442" t="s">
        <v>432</v>
      </c>
      <c r="B4" s="442" t="s">
        <v>433</v>
      </c>
      <c r="C4" s="442"/>
      <c r="D4" s="442"/>
      <c r="E4" s="447"/>
      <c r="F4" s="440" t="s">
        <v>434</v>
      </c>
      <c r="G4" s="440"/>
      <c r="H4" s="415" t="s">
        <v>411</v>
      </c>
      <c r="I4" s="448" t="s">
        <v>412</v>
      </c>
    </row>
    <row r="5" spans="1:9" ht="41.65" customHeight="1">
      <c r="A5" s="442" t="s">
        <v>432</v>
      </c>
      <c r="B5" s="237" t="s">
        <v>435</v>
      </c>
      <c r="C5" s="237" t="s">
        <v>436</v>
      </c>
      <c r="D5" s="237" t="s">
        <v>437</v>
      </c>
      <c r="E5" s="234" t="s">
        <v>438</v>
      </c>
      <c r="F5" s="236" t="s">
        <v>36</v>
      </c>
      <c r="G5" s="236" t="s">
        <v>439</v>
      </c>
      <c r="H5" s="415"/>
      <c r="I5" s="448"/>
    </row>
    <row r="6" spans="1:9" ht="23.25" customHeight="1">
      <c r="A6" s="237" t="s">
        <v>3</v>
      </c>
      <c r="B6" s="237" t="s">
        <v>75</v>
      </c>
      <c r="C6" s="237" t="s">
        <v>76</v>
      </c>
      <c r="D6" s="237" t="s">
        <v>77</v>
      </c>
      <c r="E6" s="234" t="s">
        <v>78</v>
      </c>
      <c r="F6" s="236" t="s">
        <v>79</v>
      </c>
      <c r="G6" s="236" t="s">
        <v>89</v>
      </c>
      <c r="H6" s="236">
        <v>8</v>
      </c>
      <c r="I6" s="236">
        <v>9</v>
      </c>
    </row>
    <row r="7" spans="1:9" ht="54.6" customHeight="1">
      <c r="A7" s="24" t="s">
        <v>130</v>
      </c>
      <c r="B7" s="238" t="s">
        <v>440</v>
      </c>
      <c r="C7" s="245">
        <v>43613</v>
      </c>
      <c r="D7" s="237">
        <v>200</v>
      </c>
      <c r="E7" s="238" t="s">
        <v>441</v>
      </c>
      <c r="F7" s="236" t="s">
        <v>38</v>
      </c>
      <c r="G7" s="10" t="s">
        <v>301</v>
      </c>
      <c r="H7" s="17">
        <f>' № 7  рп, кцср, квр'!E561</f>
        <v>36</v>
      </c>
      <c r="I7" s="17">
        <f>' № 7  рп, кцср, квр'!F561</f>
        <v>36</v>
      </c>
    </row>
    <row r="8" spans="1:9" ht="104.45" customHeight="1">
      <c r="A8" s="238" t="s">
        <v>65</v>
      </c>
      <c r="B8" s="238" t="s">
        <v>440</v>
      </c>
      <c r="C8" s="245">
        <v>42962</v>
      </c>
      <c r="D8" s="237">
        <v>109</v>
      </c>
      <c r="E8" s="238" t="s">
        <v>442</v>
      </c>
      <c r="F8" s="236" t="s">
        <v>52</v>
      </c>
      <c r="G8" s="236">
        <v>2240420390</v>
      </c>
      <c r="H8" s="17">
        <f>' № 7  рп, кцср, квр'!E674</f>
        <v>698.3</v>
      </c>
      <c r="I8" s="17">
        <f>' № 7  рп, кцср, квр'!F674</f>
        <v>617.6</v>
      </c>
    </row>
    <row r="9" spans="1:9" ht="62.45" customHeight="1">
      <c r="A9" s="238" t="s">
        <v>182</v>
      </c>
      <c r="B9" s="238" t="s">
        <v>440</v>
      </c>
      <c r="C9" s="245">
        <v>44005</v>
      </c>
      <c r="D9" s="237">
        <v>274</v>
      </c>
      <c r="E9" s="238" t="s">
        <v>443</v>
      </c>
      <c r="F9" s="236" t="s">
        <v>40</v>
      </c>
      <c r="G9" s="233">
        <v>2240220350</v>
      </c>
      <c r="H9" s="17">
        <f>' № 7  рп, кцср, квр'!E687</f>
        <v>107.1</v>
      </c>
      <c r="I9" s="17">
        <f>' № 7  рп, кцср, квр'!F687</f>
        <v>72</v>
      </c>
    </row>
    <row r="10" spans="1:9" ht="25.15" customHeight="1">
      <c r="A10" s="5" t="s">
        <v>444</v>
      </c>
      <c r="B10" s="241" t="s">
        <v>64</v>
      </c>
      <c r="C10" s="241" t="s">
        <v>64</v>
      </c>
      <c r="D10" s="241" t="s">
        <v>64</v>
      </c>
      <c r="E10" s="241" t="s">
        <v>64</v>
      </c>
      <c r="F10" s="246" t="s">
        <v>64</v>
      </c>
      <c r="G10" s="246" t="s">
        <v>64</v>
      </c>
      <c r="H10" s="43">
        <f>H7+H8+H9</f>
        <v>841.4</v>
      </c>
      <c r="I10" s="43">
        <f>I7+I8+I9</f>
        <v>725.6</v>
      </c>
    </row>
  </sheetData>
  <mergeCells count="7">
    <mergeCell ref="F1:I1"/>
    <mergeCell ref="A3:I3"/>
    <mergeCell ref="A4:A5"/>
    <mergeCell ref="B4:E4"/>
    <mergeCell ref="F4:G4"/>
    <mergeCell ref="H4:H5"/>
    <mergeCell ref="I4:I5"/>
  </mergeCells>
  <pageMargins left="0.59055118110236227" right="0.19685039370078741" top="0.19685039370078741" bottom="0.19685039370078741" header="0.31496062992125984" footer="0.31496062992125984"/>
  <pageSetup paperSize="9" scale="70" fitToHeight="0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21"/>
  <sheetViews>
    <sheetView view="pageBreakPreview" topLeftCell="A4" zoomScale="60" zoomScaleNormal="85" workbookViewId="0">
      <selection activeCell="P11" sqref="P11"/>
    </sheetView>
  </sheetViews>
  <sheetFormatPr defaultColWidth="9.140625" defaultRowHeight="15.75"/>
  <cols>
    <col min="1" max="1" width="9.5703125" style="247" customWidth="1"/>
    <col min="2" max="2" width="77" style="248" customWidth="1"/>
    <col min="3" max="3" width="28.140625" style="248" customWidth="1"/>
    <col min="4" max="4" width="11.85546875" style="249" customWidth="1"/>
    <col min="5" max="5" width="11.7109375" style="249" customWidth="1"/>
    <col min="6" max="6" width="10.42578125" style="249" customWidth="1"/>
    <col min="7" max="7" width="10.85546875" style="250" customWidth="1"/>
    <col min="8" max="8" width="11" style="249" customWidth="1"/>
    <col min="9" max="9" width="12.140625" style="249" customWidth="1"/>
    <col min="10" max="10" width="11" style="249" customWidth="1"/>
    <col min="11" max="11" width="10.7109375" style="250" customWidth="1"/>
    <col min="12" max="12" width="14.85546875" style="249" customWidth="1"/>
    <col min="13" max="13" width="9.140625" style="248" customWidth="1"/>
    <col min="14" max="252" width="9.140625" style="248"/>
    <col min="253" max="253" width="5.5703125" style="248" customWidth="1"/>
    <col min="254" max="254" width="33.5703125" style="248" customWidth="1"/>
    <col min="255" max="255" width="15.5703125" style="248" customWidth="1"/>
    <col min="256" max="256" width="9.5703125" style="248" customWidth="1"/>
    <col min="257" max="257" width="11.7109375" style="248" customWidth="1"/>
    <col min="258" max="258" width="13.140625" style="248" customWidth="1"/>
    <col min="259" max="259" width="10.85546875" style="248" customWidth="1"/>
    <col min="260" max="260" width="9.28515625" style="248" bestFit="1" customWidth="1"/>
    <col min="261" max="261" width="12.140625" style="248" customWidth="1"/>
    <col min="262" max="262" width="12.7109375" style="248" customWidth="1"/>
    <col min="263" max="263" width="9.28515625" style="248" customWidth="1"/>
    <col min="264" max="264" width="9.28515625" style="248" bestFit="1" customWidth="1"/>
    <col min="265" max="265" width="13.140625" style="248" customWidth="1"/>
    <col min="266" max="266" width="13.5703125" style="248" customWidth="1"/>
    <col min="267" max="267" width="9.5703125" style="248" customWidth="1"/>
    <col min="268" max="268" width="14.85546875" style="248" customWidth="1"/>
    <col min="269" max="508" width="9.140625" style="248"/>
    <col min="509" max="509" width="5.5703125" style="248" customWidth="1"/>
    <col min="510" max="510" width="33.5703125" style="248" customWidth="1"/>
    <col min="511" max="511" width="15.5703125" style="248" customWidth="1"/>
    <col min="512" max="512" width="9.5703125" style="248" customWidth="1"/>
    <col min="513" max="513" width="11.7109375" style="248" customWidth="1"/>
    <col min="514" max="514" width="13.140625" style="248" customWidth="1"/>
    <col min="515" max="515" width="10.85546875" style="248" customWidth="1"/>
    <col min="516" max="516" width="9.28515625" style="248" bestFit="1" customWidth="1"/>
    <col min="517" max="517" width="12.140625" style="248" customWidth="1"/>
    <col min="518" max="518" width="12.7109375" style="248" customWidth="1"/>
    <col min="519" max="519" width="9.28515625" style="248" customWidth="1"/>
    <col min="520" max="520" width="9.28515625" style="248" bestFit="1" customWidth="1"/>
    <col min="521" max="521" width="13.140625" style="248" customWidth="1"/>
    <col min="522" max="522" width="13.5703125" style="248" customWidth="1"/>
    <col min="523" max="523" width="9.5703125" style="248" customWidth="1"/>
    <col min="524" max="524" width="14.85546875" style="248" customWidth="1"/>
    <col min="525" max="764" width="9.140625" style="248"/>
    <col min="765" max="765" width="5.5703125" style="248" customWidth="1"/>
    <col min="766" max="766" width="33.5703125" style="248" customWidth="1"/>
    <col min="767" max="767" width="15.5703125" style="248" customWidth="1"/>
    <col min="768" max="768" width="9.5703125" style="248" customWidth="1"/>
    <col min="769" max="769" width="11.7109375" style="248" customWidth="1"/>
    <col min="770" max="770" width="13.140625" style="248" customWidth="1"/>
    <col min="771" max="771" width="10.85546875" style="248" customWidth="1"/>
    <col min="772" max="772" width="9.28515625" style="248" bestFit="1" customWidth="1"/>
    <col min="773" max="773" width="12.140625" style="248" customWidth="1"/>
    <col min="774" max="774" width="12.7109375" style="248" customWidth="1"/>
    <col min="775" max="775" width="9.28515625" style="248" customWidth="1"/>
    <col min="776" max="776" width="9.28515625" style="248" bestFit="1" customWidth="1"/>
    <col min="777" max="777" width="13.140625" style="248" customWidth="1"/>
    <col min="778" max="778" width="13.5703125" style="248" customWidth="1"/>
    <col min="779" max="779" width="9.5703125" style="248" customWidth="1"/>
    <col min="780" max="780" width="14.85546875" style="248" customWidth="1"/>
    <col min="781" max="1020" width="9.140625" style="248"/>
    <col min="1021" max="1021" width="5.5703125" style="248" customWidth="1"/>
    <col min="1022" max="1022" width="33.5703125" style="248" customWidth="1"/>
    <col min="1023" max="1023" width="15.5703125" style="248" customWidth="1"/>
    <col min="1024" max="1024" width="9.5703125" style="248" customWidth="1"/>
    <col min="1025" max="1025" width="11.7109375" style="248" customWidth="1"/>
    <col min="1026" max="1026" width="13.140625" style="248" customWidth="1"/>
    <col min="1027" max="1027" width="10.85546875" style="248" customWidth="1"/>
    <col min="1028" max="1028" width="9.28515625" style="248" bestFit="1" customWidth="1"/>
    <col min="1029" max="1029" width="12.140625" style="248" customWidth="1"/>
    <col min="1030" max="1030" width="12.7109375" style="248" customWidth="1"/>
    <col min="1031" max="1031" width="9.28515625" style="248" customWidth="1"/>
    <col min="1032" max="1032" width="9.28515625" style="248" bestFit="1" customWidth="1"/>
    <col min="1033" max="1033" width="13.140625" style="248" customWidth="1"/>
    <col min="1034" max="1034" width="13.5703125" style="248" customWidth="1"/>
    <col min="1035" max="1035" width="9.5703125" style="248" customWidth="1"/>
    <col min="1036" max="1036" width="14.85546875" style="248" customWidth="1"/>
    <col min="1037" max="1276" width="9.140625" style="248"/>
    <col min="1277" max="1277" width="5.5703125" style="248" customWidth="1"/>
    <col min="1278" max="1278" width="33.5703125" style="248" customWidth="1"/>
    <col min="1279" max="1279" width="15.5703125" style="248" customWidth="1"/>
    <col min="1280" max="1280" width="9.5703125" style="248" customWidth="1"/>
    <col min="1281" max="1281" width="11.7109375" style="248" customWidth="1"/>
    <col min="1282" max="1282" width="13.140625" style="248" customWidth="1"/>
    <col min="1283" max="1283" width="10.85546875" style="248" customWidth="1"/>
    <col min="1284" max="1284" width="9.28515625" style="248" bestFit="1" customWidth="1"/>
    <col min="1285" max="1285" width="12.140625" style="248" customWidth="1"/>
    <col min="1286" max="1286" width="12.7109375" style="248" customWidth="1"/>
    <col min="1287" max="1287" width="9.28515625" style="248" customWidth="1"/>
    <col min="1288" max="1288" width="9.28515625" style="248" bestFit="1" customWidth="1"/>
    <col min="1289" max="1289" width="13.140625" style="248" customWidth="1"/>
    <col min="1290" max="1290" width="13.5703125" style="248" customWidth="1"/>
    <col min="1291" max="1291" width="9.5703125" style="248" customWidth="1"/>
    <col min="1292" max="1292" width="14.85546875" style="248" customWidth="1"/>
    <col min="1293" max="1532" width="9.140625" style="248"/>
    <col min="1533" max="1533" width="5.5703125" style="248" customWidth="1"/>
    <col min="1534" max="1534" width="33.5703125" style="248" customWidth="1"/>
    <col min="1535" max="1535" width="15.5703125" style="248" customWidth="1"/>
    <col min="1536" max="1536" width="9.5703125" style="248" customWidth="1"/>
    <col min="1537" max="1537" width="11.7109375" style="248" customWidth="1"/>
    <col min="1538" max="1538" width="13.140625" style="248" customWidth="1"/>
    <col min="1539" max="1539" width="10.85546875" style="248" customWidth="1"/>
    <col min="1540" max="1540" width="9.28515625" style="248" bestFit="1" customWidth="1"/>
    <col min="1541" max="1541" width="12.140625" style="248" customWidth="1"/>
    <col min="1542" max="1542" width="12.7109375" style="248" customWidth="1"/>
    <col min="1543" max="1543" width="9.28515625" style="248" customWidth="1"/>
    <col min="1544" max="1544" width="9.28515625" style="248" bestFit="1" customWidth="1"/>
    <col min="1545" max="1545" width="13.140625" style="248" customWidth="1"/>
    <col min="1546" max="1546" width="13.5703125" style="248" customWidth="1"/>
    <col min="1547" max="1547" width="9.5703125" style="248" customWidth="1"/>
    <col min="1548" max="1548" width="14.85546875" style="248" customWidth="1"/>
    <col min="1549" max="1788" width="9.140625" style="248"/>
    <col min="1789" max="1789" width="5.5703125" style="248" customWidth="1"/>
    <col min="1790" max="1790" width="33.5703125" style="248" customWidth="1"/>
    <col min="1791" max="1791" width="15.5703125" style="248" customWidth="1"/>
    <col min="1792" max="1792" width="9.5703125" style="248" customWidth="1"/>
    <col min="1793" max="1793" width="11.7109375" style="248" customWidth="1"/>
    <col min="1794" max="1794" width="13.140625" style="248" customWidth="1"/>
    <col min="1795" max="1795" width="10.85546875" style="248" customWidth="1"/>
    <col min="1796" max="1796" width="9.28515625" style="248" bestFit="1" customWidth="1"/>
    <col min="1797" max="1797" width="12.140625" style="248" customWidth="1"/>
    <col min="1798" max="1798" width="12.7109375" style="248" customWidth="1"/>
    <col min="1799" max="1799" width="9.28515625" style="248" customWidth="1"/>
    <col min="1800" max="1800" width="9.28515625" style="248" bestFit="1" customWidth="1"/>
    <col min="1801" max="1801" width="13.140625" style="248" customWidth="1"/>
    <col min="1802" max="1802" width="13.5703125" style="248" customWidth="1"/>
    <col min="1803" max="1803" width="9.5703125" style="248" customWidth="1"/>
    <col min="1804" max="1804" width="14.85546875" style="248" customWidth="1"/>
    <col min="1805" max="2044" width="9.140625" style="248"/>
    <col min="2045" max="2045" width="5.5703125" style="248" customWidth="1"/>
    <col min="2046" max="2046" width="33.5703125" style="248" customWidth="1"/>
    <col min="2047" max="2047" width="15.5703125" style="248" customWidth="1"/>
    <col min="2048" max="2048" width="9.5703125" style="248" customWidth="1"/>
    <col min="2049" max="2049" width="11.7109375" style="248" customWidth="1"/>
    <col min="2050" max="2050" width="13.140625" style="248" customWidth="1"/>
    <col min="2051" max="2051" width="10.85546875" style="248" customWidth="1"/>
    <col min="2052" max="2052" width="9.28515625" style="248" bestFit="1" customWidth="1"/>
    <col min="2053" max="2053" width="12.140625" style="248" customWidth="1"/>
    <col min="2054" max="2054" width="12.7109375" style="248" customWidth="1"/>
    <col min="2055" max="2055" width="9.28515625" style="248" customWidth="1"/>
    <col min="2056" max="2056" width="9.28515625" style="248" bestFit="1" customWidth="1"/>
    <col min="2057" max="2057" width="13.140625" style="248" customWidth="1"/>
    <col min="2058" max="2058" width="13.5703125" style="248" customWidth="1"/>
    <col min="2059" max="2059" width="9.5703125" style="248" customWidth="1"/>
    <col min="2060" max="2060" width="14.85546875" style="248" customWidth="1"/>
    <col min="2061" max="2300" width="9.140625" style="248"/>
    <col min="2301" max="2301" width="5.5703125" style="248" customWidth="1"/>
    <col min="2302" max="2302" width="33.5703125" style="248" customWidth="1"/>
    <col min="2303" max="2303" width="15.5703125" style="248" customWidth="1"/>
    <col min="2304" max="2304" width="9.5703125" style="248" customWidth="1"/>
    <col min="2305" max="2305" width="11.7109375" style="248" customWidth="1"/>
    <col min="2306" max="2306" width="13.140625" style="248" customWidth="1"/>
    <col min="2307" max="2307" width="10.85546875" style="248" customWidth="1"/>
    <col min="2308" max="2308" width="9.28515625" style="248" bestFit="1" customWidth="1"/>
    <col min="2309" max="2309" width="12.140625" style="248" customWidth="1"/>
    <col min="2310" max="2310" width="12.7109375" style="248" customWidth="1"/>
    <col min="2311" max="2311" width="9.28515625" style="248" customWidth="1"/>
    <col min="2312" max="2312" width="9.28515625" style="248" bestFit="1" customWidth="1"/>
    <col min="2313" max="2313" width="13.140625" style="248" customWidth="1"/>
    <col min="2314" max="2314" width="13.5703125" style="248" customWidth="1"/>
    <col min="2315" max="2315" width="9.5703125" style="248" customWidth="1"/>
    <col min="2316" max="2316" width="14.85546875" style="248" customWidth="1"/>
    <col min="2317" max="2556" width="9.140625" style="248"/>
    <col min="2557" max="2557" width="5.5703125" style="248" customWidth="1"/>
    <col min="2558" max="2558" width="33.5703125" style="248" customWidth="1"/>
    <col min="2559" max="2559" width="15.5703125" style="248" customWidth="1"/>
    <col min="2560" max="2560" width="9.5703125" style="248" customWidth="1"/>
    <col min="2561" max="2561" width="11.7109375" style="248" customWidth="1"/>
    <col min="2562" max="2562" width="13.140625" style="248" customWidth="1"/>
    <col min="2563" max="2563" width="10.85546875" style="248" customWidth="1"/>
    <col min="2564" max="2564" width="9.28515625" style="248" bestFit="1" customWidth="1"/>
    <col min="2565" max="2565" width="12.140625" style="248" customWidth="1"/>
    <col min="2566" max="2566" width="12.7109375" style="248" customWidth="1"/>
    <col min="2567" max="2567" width="9.28515625" style="248" customWidth="1"/>
    <col min="2568" max="2568" width="9.28515625" style="248" bestFit="1" customWidth="1"/>
    <col min="2569" max="2569" width="13.140625" style="248" customWidth="1"/>
    <col min="2570" max="2570" width="13.5703125" style="248" customWidth="1"/>
    <col min="2571" max="2571" width="9.5703125" style="248" customWidth="1"/>
    <col min="2572" max="2572" width="14.85546875" style="248" customWidth="1"/>
    <col min="2573" max="2812" width="9.140625" style="248"/>
    <col min="2813" max="2813" width="5.5703125" style="248" customWidth="1"/>
    <col min="2814" max="2814" width="33.5703125" style="248" customWidth="1"/>
    <col min="2815" max="2815" width="15.5703125" style="248" customWidth="1"/>
    <col min="2816" max="2816" width="9.5703125" style="248" customWidth="1"/>
    <col min="2817" max="2817" width="11.7109375" style="248" customWidth="1"/>
    <col min="2818" max="2818" width="13.140625" style="248" customWidth="1"/>
    <col min="2819" max="2819" width="10.85546875" style="248" customWidth="1"/>
    <col min="2820" max="2820" width="9.28515625" style="248" bestFit="1" customWidth="1"/>
    <col min="2821" max="2821" width="12.140625" style="248" customWidth="1"/>
    <col min="2822" max="2822" width="12.7109375" style="248" customWidth="1"/>
    <col min="2823" max="2823" width="9.28515625" style="248" customWidth="1"/>
    <col min="2824" max="2824" width="9.28515625" style="248" bestFit="1" customWidth="1"/>
    <col min="2825" max="2825" width="13.140625" style="248" customWidth="1"/>
    <col min="2826" max="2826" width="13.5703125" style="248" customWidth="1"/>
    <col min="2827" max="2827" width="9.5703125" style="248" customWidth="1"/>
    <col min="2828" max="2828" width="14.85546875" style="248" customWidth="1"/>
    <col min="2829" max="3068" width="9.140625" style="248"/>
    <col min="3069" max="3069" width="5.5703125" style="248" customWidth="1"/>
    <col min="3070" max="3070" width="33.5703125" style="248" customWidth="1"/>
    <col min="3071" max="3071" width="15.5703125" style="248" customWidth="1"/>
    <col min="3072" max="3072" width="9.5703125" style="248" customWidth="1"/>
    <col min="3073" max="3073" width="11.7109375" style="248" customWidth="1"/>
    <col min="3074" max="3074" width="13.140625" style="248" customWidth="1"/>
    <col min="3075" max="3075" width="10.85546875" style="248" customWidth="1"/>
    <col min="3076" max="3076" width="9.28515625" style="248" bestFit="1" customWidth="1"/>
    <col min="3077" max="3077" width="12.140625" style="248" customWidth="1"/>
    <col min="3078" max="3078" width="12.7109375" style="248" customWidth="1"/>
    <col min="3079" max="3079" width="9.28515625" style="248" customWidth="1"/>
    <col min="3080" max="3080" width="9.28515625" style="248" bestFit="1" customWidth="1"/>
    <col min="3081" max="3081" width="13.140625" style="248" customWidth="1"/>
    <col min="3082" max="3082" width="13.5703125" style="248" customWidth="1"/>
    <col min="3083" max="3083" width="9.5703125" style="248" customWidth="1"/>
    <col min="3084" max="3084" width="14.85546875" style="248" customWidth="1"/>
    <col min="3085" max="3324" width="9.140625" style="248"/>
    <col min="3325" max="3325" width="5.5703125" style="248" customWidth="1"/>
    <col min="3326" max="3326" width="33.5703125" style="248" customWidth="1"/>
    <col min="3327" max="3327" width="15.5703125" style="248" customWidth="1"/>
    <col min="3328" max="3328" width="9.5703125" style="248" customWidth="1"/>
    <col min="3329" max="3329" width="11.7109375" style="248" customWidth="1"/>
    <col min="3330" max="3330" width="13.140625" style="248" customWidth="1"/>
    <col min="3331" max="3331" width="10.85546875" style="248" customWidth="1"/>
    <col min="3332" max="3332" width="9.28515625" style="248" bestFit="1" customWidth="1"/>
    <col min="3333" max="3333" width="12.140625" style="248" customWidth="1"/>
    <col min="3334" max="3334" width="12.7109375" style="248" customWidth="1"/>
    <col min="3335" max="3335" width="9.28515625" style="248" customWidth="1"/>
    <col min="3336" max="3336" width="9.28515625" style="248" bestFit="1" customWidth="1"/>
    <col min="3337" max="3337" width="13.140625" style="248" customWidth="1"/>
    <col min="3338" max="3338" width="13.5703125" style="248" customWidth="1"/>
    <col min="3339" max="3339" width="9.5703125" style="248" customWidth="1"/>
    <col min="3340" max="3340" width="14.85546875" style="248" customWidth="1"/>
    <col min="3341" max="3580" width="9.140625" style="248"/>
    <col min="3581" max="3581" width="5.5703125" style="248" customWidth="1"/>
    <col min="3582" max="3582" width="33.5703125" style="248" customWidth="1"/>
    <col min="3583" max="3583" width="15.5703125" style="248" customWidth="1"/>
    <col min="3584" max="3584" width="9.5703125" style="248" customWidth="1"/>
    <col min="3585" max="3585" width="11.7109375" style="248" customWidth="1"/>
    <col min="3586" max="3586" width="13.140625" style="248" customWidth="1"/>
    <col min="3587" max="3587" width="10.85546875" style="248" customWidth="1"/>
    <col min="3588" max="3588" width="9.28515625" style="248" bestFit="1" customWidth="1"/>
    <col min="3589" max="3589" width="12.140625" style="248" customWidth="1"/>
    <col min="3590" max="3590" width="12.7109375" style="248" customWidth="1"/>
    <col min="3591" max="3591" width="9.28515625" style="248" customWidth="1"/>
    <col min="3592" max="3592" width="9.28515625" style="248" bestFit="1" customWidth="1"/>
    <col min="3593" max="3593" width="13.140625" style="248" customWidth="1"/>
    <col min="3594" max="3594" width="13.5703125" style="248" customWidth="1"/>
    <col min="3595" max="3595" width="9.5703125" style="248" customWidth="1"/>
    <col min="3596" max="3596" width="14.85546875" style="248" customWidth="1"/>
    <col min="3597" max="3836" width="9.140625" style="248"/>
    <col min="3837" max="3837" width="5.5703125" style="248" customWidth="1"/>
    <col min="3838" max="3838" width="33.5703125" style="248" customWidth="1"/>
    <col min="3839" max="3839" width="15.5703125" style="248" customWidth="1"/>
    <col min="3840" max="3840" width="9.5703125" style="248" customWidth="1"/>
    <col min="3841" max="3841" width="11.7109375" style="248" customWidth="1"/>
    <col min="3842" max="3842" width="13.140625" style="248" customWidth="1"/>
    <col min="3843" max="3843" width="10.85546875" style="248" customWidth="1"/>
    <col min="3844" max="3844" width="9.28515625" style="248" bestFit="1" customWidth="1"/>
    <col min="3845" max="3845" width="12.140625" style="248" customWidth="1"/>
    <col min="3846" max="3846" width="12.7109375" style="248" customWidth="1"/>
    <col min="3847" max="3847" width="9.28515625" style="248" customWidth="1"/>
    <col min="3848" max="3848" width="9.28515625" style="248" bestFit="1" customWidth="1"/>
    <col min="3849" max="3849" width="13.140625" style="248" customWidth="1"/>
    <col min="3850" max="3850" width="13.5703125" style="248" customWidth="1"/>
    <col min="3851" max="3851" width="9.5703125" style="248" customWidth="1"/>
    <col min="3852" max="3852" width="14.85546875" style="248" customWidth="1"/>
    <col min="3853" max="4092" width="9.140625" style="248"/>
    <col min="4093" max="4093" width="5.5703125" style="248" customWidth="1"/>
    <col min="4094" max="4094" width="33.5703125" style="248" customWidth="1"/>
    <col min="4095" max="4095" width="15.5703125" style="248" customWidth="1"/>
    <col min="4096" max="4096" width="9.5703125" style="248" customWidth="1"/>
    <col min="4097" max="4097" width="11.7109375" style="248" customWidth="1"/>
    <col min="4098" max="4098" width="13.140625" style="248" customWidth="1"/>
    <col min="4099" max="4099" width="10.85546875" style="248" customWidth="1"/>
    <col min="4100" max="4100" width="9.28515625" style="248" bestFit="1" customWidth="1"/>
    <col min="4101" max="4101" width="12.140625" style="248" customWidth="1"/>
    <col min="4102" max="4102" width="12.7109375" style="248" customWidth="1"/>
    <col min="4103" max="4103" width="9.28515625" style="248" customWidth="1"/>
    <col min="4104" max="4104" width="9.28515625" style="248" bestFit="1" customWidth="1"/>
    <col min="4105" max="4105" width="13.140625" style="248" customWidth="1"/>
    <col min="4106" max="4106" width="13.5703125" style="248" customWidth="1"/>
    <col min="4107" max="4107" width="9.5703125" style="248" customWidth="1"/>
    <col min="4108" max="4108" width="14.85546875" style="248" customWidth="1"/>
    <col min="4109" max="4348" width="9.140625" style="248"/>
    <col min="4349" max="4349" width="5.5703125" style="248" customWidth="1"/>
    <col min="4350" max="4350" width="33.5703125" style="248" customWidth="1"/>
    <col min="4351" max="4351" width="15.5703125" style="248" customWidth="1"/>
    <col min="4352" max="4352" width="9.5703125" style="248" customWidth="1"/>
    <col min="4353" max="4353" width="11.7109375" style="248" customWidth="1"/>
    <col min="4354" max="4354" width="13.140625" style="248" customWidth="1"/>
    <col min="4355" max="4355" width="10.85546875" style="248" customWidth="1"/>
    <col min="4356" max="4356" width="9.28515625" style="248" bestFit="1" customWidth="1"/>
    <col min="4357" max="4357" width="12.140625" style="248" customWidth="1"/>
    <col min="4358" max="4358" width="12.7109375" style="248" customWidth="1"/>
    <col min="4359" max="4359" width="9.28515625" style="248" customWidth="1"/>
    <col min="4360" max="4360" width="9.28515625" style="248" bestFit="1" customWidth="1"/>
    <col min="4361" max="4361" width="13.140625" style="248" customWidth="1"/>
    <col min="4362" max="4362" width="13.5703125" style="248" customWidth="1"/>
    <col min="4363" max="4363" width="9.5703125" style="248" customWidth="1"/>
    <col min="4364" max="4364" width="14.85546875" style="248" customWidth="1"/>
    <col min="4365" max="4604" width="9.140625" style="248"/>
    <col min="4605" max="4605" width="5.5703125" style="248" customWidth="1"/>
    <col min="4606" max="4606" width="33.5703125" style="248" customWidth="1"/>
    <col min="4607" max="4607" width="15.5703125" style="248" customWidth="1"/>
    <col min="4608" max="4608" width="9.5703125" style="248" customWidth="1"/>
    <col min="4609" max="4609" width="11.7109375" style="248" customWidth="1"/>
    <col min="4610" max="4610" width="13.140625" style="248" customWidth="1"/>
    <col min="4611" max="4611" width="10.85546875" style="248" customWidth="1"/>
    <col min="4612" max="4612" width="9.28515625" style="248" bestFit="1" customWidth="1"/>
    <col min="4613" max="4613" width="12.140625" style="248" customWidth="1"/>
    <col min="4614" max="4614" width="12.7109375" style="248" customWidth="1"/>
    <col min="4615" max="4615" width="9.28515625" style="248" customWidth="1"/>
    <col min="4616" max="4616" width="9.28515625" style="248" bestFit="1" customWidth="1"/>
    <col min="4617" max="4617" width="13.140625" style="248" customWidth="1"/>
    <col min="4618" max="4618" width="13.5703125" style="248" customWidth="1"/>
    <col min="4619" max="4619" width="9.5703125" style="248" customWidth="1"/>
    <col min="4620" max="4620" width="14.85546875" style="248" customWidth="1"/>
    <col min="4621" max="4860" width="9.140625" style="248"/>
    <col min="4861" max="4861" width="5.5703125" style="248" customWidth="1"/>
    <col min="4862" max="4862" width="33.5703125" style="248" customWidth="1"/>
    <col min="4863" max="4863" width="15.5703125" style="248" customWidth="1"/>
    <col min="4864" max="4864" width="9.5703125" style="248" customWidth="1"/>
    <col min="4865" max="4865" width="11.7109375" style="248" customWidth="1"/>
    <col min="4866" max="4866" width="13.140625" style="248" customWidth="1"/>
    <col min="4867" max="4867" width="10.85546875" style="248" customWidth="1"/>
    <col min="4868" max="4868" width="9.28515625" style="248" bestFit="1" customWidth="1"/>
    <col min="4869" max="4869" width="12.140625" style="248" customWidth="1"/>
    <col min="4870" max="4870" width="12.7109375" style="248" customWidth="1"/>
    <col min="4871" max="4871" width="9.28515625" style="248" customWidth="1"/>
    <col min="4872" max="4872" width="9.28515625" style="248" bestFit="1" customWidth="1"/>
    <col min="4873" max="4873" width="13.140625" style="248" customWidth="1"/>
    <col min="4874" max="4874" width="13.5703125" style="248" customWidth="1"/>
    <col min="4875" max="4875" width="9.5703125" style="248" customWidth="1"/>
    <col min="4876" max="4876" width="14.85546875" style="248" customWidth="1"/>
    <col min="4877" max="5116" width="9.140625" style="248"/>
    <col min="5117" max="5117" width="5.5703125" style="248" customWidth="1"/>
    <col min="5118" max="5118" width="33.5703125" style="248" customWidth="1"/>
    <col min="5119" max="5119" width="15.5703125" style="248" customWidth="1"/>
    <col min="5120" max="5120" width="9.5703125" style="248" customWidth="1"/>
    <col min="5121" max="5121" width="11.7109375" style="248" customWidth="1"/>
    <col min="5122" max="5122" width="13.140625" style="248" customWidth="1"/>
    <col min="5123" max="5123" width="10.85546875" style="248" customWidth="1"/>
    <col min="5124" max="5124" width="9.28515625" style="248" bestFit="1" customWidth="1"/>
    <col min="5125" max="5125" width="12.140625" style="248" customWidth="1"/>
    <col min="5126" max="5126" width="12.7109375" style="248" customWidth="1"/>
    <col min="5127" max="5127" width="9.28515625" style="248" customWidth="1"/>
    <col min="5128" max="5128" width="9.28515625" style="248" bestFit="1" customWidth="1"/>
    <col min="5129" max="5129" width="13.140625" style="248" customWidth="1"/>
    <col min="5130" max="5130" width="13.5703125" style="248" customWidth="1"/>
    <col min="5131" max="5131" width="9.5703125" style="248" customWidth="1"/>
    <col min="5132" max="5132" width="14.85546875" style="248" customWidth="1"/>
    <col min="5133" max="5372" width="9.140625" style="248"/>
    <col min="5373" max="5373" width="5.5703125" style="248" customWidth="1"/>
    <col min="5374" max="5374" width="33.5703125" style="248" customWidth="1"/>
    <col min="5375" max="5375" width="15.5703125" style="248" customWidth="1"/>
    <col min="5376" max="5376" width="9.5703125" style="248" customWidth="1"/>
    <col min="5377" max="5377" width="11.7109375" style="248" customWidth="1"/>
    <col min="5378" max="5378" width="13.140625" style="248" customWidth="1"/>
    <col min="5379" max="5379" width="10.85546875" style="248" customWidth="1"/>
    <col min="5380" max="5380" width="9.28515625" style="248" bestFit="1" customWidth="1"/>
    <col min="5381" max="5381" width="12.140625" style="248" customWidth="1"/>
    <col min="5382" max="5382" width="12.7109375" style="248" customWidth="1"/>
    <col min="5383" max="5383" width="9.28515625" style="248" customWidth="1"/>
    <col min="5384" max="5384" width="9.28515625" style="248" bestFit="1" customWidth="1"/>
    <col min="5385" max="5385" width="13.140625" style="248" customWidth="1"/>
    <col min="5386" max="5386" width="13.5703125" style="248" customWidth="1"/>
    <col min="5387" max="5387" width="9.5703125" style="248" customWidth="1"/>
    <col min="5388" max="5388" width="14.85546875" style="248" customWidth="1"/>
    <col min="5389" max="5628" width="9.140625" style="248"/>
    <col min="5629" max="5629" width="5.5703125" style="248" customWidth="1"/>
    <col min="5630" max="5630" width="33.5703125" style="248" customWidth="1"/>
    <col min="5631" max="5631" width="15.5703125" style="248" customWidth="1"/>
    <col min="5632" max="5632" width="9.5703125" style="248" customWidth="1"/>
    <col min="5633" max="5633" width="11.7109375" style="248" customWidth="1"/>
    <col min="5634" max="5634" width="13.140625" style="248" customWidth="1"/>
    <col min="5635" max="5635" width="10.85546875" style="248" customWidth="1"/>
    <col min="5636" max="5636" width="9.28515625" style="248" bestFit="1" customWidth="1"/>
    <col min="5637" max="5637" width="12.140625" style="248" customWidth="1"/>
    <col min="5638" max="5638" width="12.7109375" style="248" customWidth="1"/>
    <col min="5639" max="5639" width="9.28515625" style="248" customWidth="1"/>
    <col min="5640" max="5640" width="9.28515625" style="248" bestFit="1" customWidth="1"/>
    <col min="5641" max="5641" width="13.140625" style="248" customWidth="1"/>
    <col min="5642" max="5642" width="13.5703125" style="248" customWidth="1"/>
    <col min="5643" max="5643" width="9.5703125" style="248" customWidth="1"/>
    <col min="5644" max="5644" width="14.85546875" style="248" customWidth="1"/>
    <col min="5645" max="5884" width="9.140625" style="248"/>
    <col min="5885" max="5885" width="5.5703125" style="248" customWidth="1"/>
    <col min="5886" max="5886" width="33.5703125" style="248" customWidth="1"/>
    <col min="5887" max="5887" width="15.5703125" style="248" customWidth="1"/>
    <col min="5888" max="5888" width="9.5703125" style="248" customWidth="1"/>
    <col min="5889" max="5889" width="11.7109375" style="248" customWidth="1"/>
    <col min="5890" max="5890" width="13.140625" style="248" customWidth="1"/>
    <col min="5891" max="5891" width="10.85546875" style="248" customWidth="1"/>
    <col min="5892" max="5892" width="9.28515625" style="248" bestFit="1" customWidth="1"/>
    <col min="5893" max="5893" width="12.140625" style="248" customWidth="1"/>
    <col min="5894" max="5894" width="12.7109375" style="248" customWidth="1"/>
    <col min="5895" max="5895" width="9.28515625" style="248" customWidth="1"/>
    <col min="5896" max="5896" width="9.28515625" style="248" bestFit="1" customWidth="1"/>
    <col min="5897" max="5897" width="13.140625" style="248" customWidth="1"/>
    <col min="5898" max="5898" width="13.5703125" style="248" customWidth="1"/>
    <col min="5899" max="5899" width="9.5703125" style="248" customWidth="1"/>
    <col min="5900" max="5900" width="14.85546875" style="248" customWidth="1"/>
    <col min="5901" max="6140" width="9.140625" style="248"/>
    <col min="6141" max="6141" width="5.5703125" style="248" customWidth="1"/>
    <col min="6142" max="6142" width="33.5703125" style="248" customWidth="1"/>
    <col min="6143" max="6143" width="15.5703125" style="248" customWidth="1"/>
    <col min="6144" max="6144" width="9.5703125" style="248" customWidth="1"/>
    <col min="6145" max="6145" width="11.7109375" style="248" customWidth="1"/>
    <col min="6146" max="6146" width="13.140625" style="248" customWidth="1"/>
    <col min="6147" max="6147" width="10.85546875" style="248" customWidth="1"/>
    <col min="6148" max="6148" width="9.28515625" style="248" bestFit="1" customWidth="1"/>
    <col min="6149" max="6149" width="12.140625" style="248" customWidth="1"/>
    <col min="6150" max="6150" width="12.7109375" style="248" customWidth="1"/>
    <col min="6151" max="6151" width="9.28515625" style="248" customWidth="1"/>
    <col min="6152" max="6152" width="9.28515625" style="248" bestFit="1" customWidth="1"/>
    <col min="6153" max="6153" width="13.140625" style="248" customWidth="1"/>
    <col min="6154" max="6154" width="13.5703125" style="248" customWidth="1"/>
    <col min="6155" max="6155" width="9.5703125" style="248" customWidth="1"/>
    <col min="6156" max="6156" width="14.85546875" style="248" customWidth="1"/>
    <col min="6157" max="6396" width="9.140625" style="248"/>
    <col min="6397" max="6397" width="5.5703125" style="248" customWidth="1"/>
    <col min="6398" max="6398" width="33.5703125" style="248" customWidth="1"/>
    <col min="6399" max="6399" width="15.5703125" style="248" customWidth="1"/>
    <col min="6400" max="6400" width="9.5703125" style="248" customWidth="1"/>
    <col min="6401" max="6401" width="11.7109375" style="248" customWidth="1"/>
    <col min="6402" max="6402" width="13.140625" style="248" customWidth="1"/>
    <col min="6403" max="6403" width="10.85546875" style="248" customWidth="1"/>
    <col min="6404" max="6404" width="9.28515625" style="248" bestFit="1" customWidth="1"/>
    <col min="6405" max="6405" width="12.140625" style="248" customWidth="1"/>
    <col min="6406" max="6406" width="12.7109375" style="248" customWidth="1"/>
    <col min="6407" max="6407" width="9.28515625" style="248" customWidth="1"/>
    <col min="6408" max="6408" width="9.28515625" style="248" bestFit="1" customWidth="1"/>
    <col min="6409" max="6409" width="13.140625" style="248" customWidth="1"/>
    <col min="6410" max="6410" width="13.5703125" style="248" customWidth="1"/>
    <col min="6411" max="6411" width="9.5703125" style="248" customWidth="1"/>
    <col min="6412" max="6412" width="14.85546875" style="248" customWidth="1"/>
    <col min="6413" max="6652" width="9.140625" style="248"/>
    <col min="6653" max="6653" width="5.5703125" style="248" customWidth="1"/>
    <col min="6654" max="6654" width="33.5703125" style="248" customWidth="1"/>
    <col min="6655" max="6655" width="15.5703125" style="248" customWidth="1"/>
    <col min="6656" max="6656" width="9.5703125" style="248" customWidth="1"/>
    <col min="6657" max="6657" width="11.7109375" style="248" customWidth="1"/>
    <col min="6658" max="6658" width="13.140625" style="248" customWidth="1"/>
    <col min="6659" max="6659" width="10.85546875" style="248" customWidth="1"/>
    <col min="6660" max="6660" width="9.28515625" style="248" bestFit="1" customWidth="1"/>
    <col min="6661" max="6661" width="12.140625" style="248" customWidth="1"/>
    <col min="6662" max="6662" width="12.7109375" style="248" customWidth="1"/>
    <col min="6663" max="6663" width="9.28515625" style="248" customWidth="1"/>
    <col min="6664" max="6664" width="9.28515625" style="248" bestFit="1" customWidth="1"/>
    <col min="6665" max="6665" width="13.140625" style="248" customWidth="1"/>
    <col min="6666" max="6666" width="13.5703125" style="248" customWidth="1"/>
    <col min="6667" max="6667" width="9.5703125" style="248" customWidth="1"/>
    <col min="6668" max="6668" width="14.85546875" style="248" customWidth="1"/>
    <col min="6669" max="6908" width="9.140625" style="248"/>
    <col min="6909" max="6909" width="5.5703125" style="248" customWidth="1"/>
    <col min="6910" max="6910" width="33.5703125" style="248" customWidth="1"/>
    <col min="6911" max="6911" width="15.5703125" style="248" customWidth="1"/>
    <col min="6912" max="6912" width="9.5703125" style="248" customWidth="1"/>
    <col min="6913" max="6913" width="11.7109375" style="248" customWidth="1"/>
    <col min="6914" max="6914" width="13.140625" style="248" customWidth="1"/>
    <col min="6915" max="6915" width="10.85546875" style="248" customWidth="1"/>
    <col min="6916" max="6916" width="9.28515625" style="248" bestFit="1" customWidth="1"/>
    <col min="6917" max="6917" width="12.140625" style="248" customWidth="1"/>
    <col min="6918" max="6918" width="12.7109375" style="248" customWidth="1"/>
    <col min="6919" max="6919" width="9.28515625" style="248" customWidth="1"/>
    <col min="6920" max="6920" width="9.28515625" style="248" bestFit="1" customWidth="1"/>
    <col min="6921" max="6921" width="13.140625" style="248" customWidth="1"/>
    <col min="6922" max="6922" width="13.5703125" style="248" customWidth="1"/>
    <col min="6923" max="6923" width="9.5703125" style="248" customWidth="1"/>
    <col min="6924" max="6924" width="14.85546875" style="248" customWidth="1"/>
    <col min="6925" max="7164" width="9.140625" style="248"/>
    <col min="7165" max="7165" width="5.5703125" style="248" customWidth="1"/>
    <col min="7166" max="7166" width="33.5703125" style="248" customWidth="1"/>
    <col min="7167" max="7167" width="15.5703125" style="248" customWidth="1"/>
    <col min="7168" max="7168" width="9.5703125" style="248" customWidth="1"/>
    <col min="7169" max="7169" width="11.7109375" style="248" customWidth="1"/>
    <col min="7170" max="7170" width="13.140625" style="248" customWidth="1"/>
    <col min="7171" max="7171" width="10.85546875" style="248" customWidth="1"/>
    <col min="7172" max="7172" width="9.28515625" style="248" bestFit="1" customWidth="1"/>
    <col min="7173" max="7173" width="12.140625" style="248" customWidth="1"/>
    <col min="7174" max="7174" width="12.7109375" style="248" customWidth="1"/>
    <col min="7175" max="7175" width="9.28515625" style="248" customWidth="1"/>
    <col min="7176" max="7176" width="9.28515625" style="248" bestFit="1" customWidth="1"/>
    <col min="7177" max="7177" width="13.140625" style="248" customWidth="1"/>
    <col min="7178" max="7178" width="13.5703125" style="248" customWidth="1"/>
    <col min="7179" max="7179" width="9.5703125" style="248" customWidth="1"/>
    <col min="7180" max="7180" width="14.85546875" style="248" customWidth="1"/>
    <col min="7181" max="7420" width="9.140625" style="248"/>
    <col min="7421" max="7421" width="5.5703125" style="248" customWidth="1"/>
    <col min="7422" max="7422" width="33.5703125" style="248" customWidth="1"/>
    <col min="7423" max="7423" width="15.5703125" style="248" customWidth="1"/>
    <col min="7424" max="7424" width="9.5703125" style="248" customWidth="1"/>
    <col min="7425" max="7425" width="11.7109375" style="248" customWidth="1"/>
    <col min="7426" max="7426" width="13.140625" style="248" customWidth="1"/>
    <col min="7427" max="7427" width="10.85546875" style="248" customWidth="1"/>
    <col min="7428" max="7428" width="9.28515625" style="248" bestFit="1" customWidth="1"/>
    <col min="7429" max="7429" width="12.140625" style="248" customWidth="1"/>
    <col min="7430" max="7430" width="12.7109375" style="248" customWidth="1"/>
    <col min="7431" max="7431" width="9.28515625" style="248" customWidth="1"/>
    <col min="7432" max="7432" width="9.28515625" style="248" bestFit="1" customWidth="1"/>
    <col min="7433" max="7433" width="13.140625" style="248" customWidth="1"/>
    <col min="7434" max="7434" width="13.5703125" style="248" customWidth="1"/>
    <col min="7435" max="7435" width="9.5703125" style="248" customWidth="1"/>
    <col min="7436" max="7436" width="14.85546875" style="248" customWidth="1"/>
    <col min="7437" max="7676" width="9.140625" style="248"/>
    <col min="7677" max="7677" width="5.5703125" style="248" customWidth="1"/>
    <col min="7678" max="7678" width="33.5703125" style="248" customWidth="1"/>
    <col min="7679" max="7679" width="15.5703125" style="248" customWidth="1"/>
    <col min="7680" max="7680" width="9.5703125" style="248" customWidth="1"/>
    <col min="7681" max="7681" width="11.7109375" style="248" customWidth="1"/>
    <col min="7682" max="7682" width="13.140625" style="248" customWidth="1"/>
    <col min="7683" max="7683" width="10.85546875" style="248" customWidth="1"/>
    <col min="7684" max="7684" width="9.28515625" style="248" bestFit="1" customWidth="1"/>
    <col min="7685" max="7685" width="12.140625" style="248" customWidth="1"/>
    <col min="7686" max="7686" width="12.7109375" style="248" customWidth="1"/>
    <col min="7687" max="7687" width="9.28515625" style="248" customWidth="1"/>
    <col min="7688" max="7688" width="9.28515625" style="248" bestFit="1" customWidth="1"/>
    <col min="7689" max="7689" width="13.140625" style="248" customWidth="1"/>
    <col min="7690" max="7690" width="13.5703125" style="248" customWidth="1"/>
    <col min="7691" max="7691" width="9.5703125" style="248" customWidth="1"/>
    <col min="7692" max="7692" width="14.85546875" style="248" customWidth="1"/>
    <col min="7693" max="7932" width="9.140625" style="248"/>
    <col min="7933" max="7933" width="5.5703125" style="248" customWidth="1"/>
    <col min="7934" max="7934" width="33.5703125" style="248" customWidth="1"/>
    <col min="7935" max="7935" width="15.5703125" style="248" customWidth="1"/>
    <col min="7936" max="7936" width="9.5703125" style="248" customWidth="1"/>
    <col min="7937" max="7937" width="11.7109375" style="248" customWidth="1"/>
    <col min="7938" max="7938" width="13.140625" style="248" customWidth="1"/>
    <col min="7939" max="7939" width="10.85546875" style="248" customWidth="1"/>
    <col min="7940" max="7940" width="9.28515625" style="248" bestFit="1" customWidth="1"/>
    <col min="7941" max="7941" width="12.140625" style="248" customWidth="1"/>
    <col min="7942" max="7942" width="12.7109375" style="248" customWidth="1"/>
    <col min="7943" max="7943" width="9.28515625" style="248" customWidth="1"/>
    <col min="7944" max="7944" width="9.28515625" style="248" bestFit="1" customWidth="1"/>
    <col min="7945" max="7945" width="13.140625" style="248" customWidth="1"/>
    <col min="7946" max="7946" width="13.5703125" style="248" customWidth="1"/>
    <col min="7947" max="7947" width="9.5703125" style="248" customWidth="1"/>
    <col min="7948" max="7948" width="14.85546875" style="248" customWidth="1"/>
    <col min="7949" max="8188" width="9.140625" style="248"/>
    <col min="8189" max="8189" width="5.5703125" style="248" customWidth="1"/>
    <col min="8190" max="8190" width="33.5703125" style="248" customWidth="1"/>
    <col min="8191" max="8191" width="15.5703125" style="248" customWidth="1"/>
    <col min="8192" max="8192" width="9.5703125" style="248" customWidth="1"/>
    <col min="8193" max="8193" width="11.7109375" style="248" customWidth="1"/>
    <col min="8194" max="8194" width="13.140625" style="248" customWidth="1"/>
    <col min="8195" max="8195" width="10.85546875" style="248" customWidth="1"/>
    <col min="8196" max="8196" width="9.28515625" style="248" bestFit="1" customWidth="1"/>
    <col min="8197" max="8197" width="12.140625" style="248" customWidth="1"/>
    <col min="8198" max="8198" width="12.7109375" style="248" customWidth="1"/>
    <col min="8199" max="8199" width="9.28515625" style="248" customWidth="1"/>
    <col min="8200" max="8200" width="9.28515625" style="248" bestFit="1" customWidth="1"/>
    <col min="8201" max="8201" width="13.140625" style="248" customWidth="1"/>
    <col min="8202" max="8202" width="13.5703125" style="248" customWidth="1"/>
    <col min="8203" max="8203" width="9.5703125" style="248" customWidth="1"/>
    <col min="8204" max="8204" width="14.85546875" style="248" customWidth="1"/>
    <col min="8205" max="8444" width="9.140625" style="248"/>
    <col min="8445" max="8445" width="5.5703125" style="248" customWidth="1"/>
    <col min="8446" max="8446" width="33.5703125" style="248" customWidth="1"/>
    <col min="8447" max="8447" width="15.5703125" style="248" customWidth="1"/>
    <col min="8448" max="8448" width="9.5703125" style="248" customWidth="1"/>
    <col min="8449" max="8449" width="11.7109375" style="248" customWidth="1"/>
    <col min="8450" max="8450" width="13.140625" style="248" customWidth="1"/>
    <col min="8451" max="8451" width="10.85546875" style="248" customWidth="1"/>
    <col min="8452" max="8452" width="9.28515625" style="248" bestFit="1" customWidth="1"/>
    <col min="8453" max="8453" width="12.140625" style="248" customWidth="1"/>
    <col min="8454" max="8454" width="12.7109375" style="248" customWidth="1"/>
    <col min="8455" max="8455" width="9.28515625" style="248" customWidth="1"/>
    <col min="8456" max="8456" width="9.28515625" style="248" bestFit="1" customWidth="1"/>
    <col min="8457" max="8457" width="13.140625" style="248" customWidth="1"/>
    <col min="8458" max="8458" width="13.5703125" style="248" customWidth="1"/>
    <col min="8459" max="8459" width="9.5703125" style="248" customWidth="1"/>
    <col min="8460" max="8460" width="14.85546875" style="248" customWidth="1"/>
    <col min="8461" max="8700" width="9.140625" style="248"/>
    <col min="8701" max="8701" width="5.5703125" style="248" customWidth="1"/>
    <col min="8702" max="8702" width="33.5703125" style="248" customWidth="1"/>
    <col min="8703" max="8703" width="15.5703125" style="248" customWidth="1"/>
    <col min="8704" max="8704" width="9.5703125" style="248" customWidth="1"/>
    <col min="8705" max="8705" width="11.7109375" style="248" customWidth="1"/>
    <col min="8706" max="8706" width="13.140625" style="248" customWidth="1"/>
    <col min="8707" max="8707" width="10.85546875" style="248" customWidth="1"/>
    <col min="8708" max="8708" width="9.28515625" style="248" bestFit="1" customWidth="1"/>
    <col min="8709" max="8709" width="12.140625" style="248" customWidth="1"/>
    <col min="8710" max="8710" width="12.7109375" style="248" customWidth="1"/>
    <col min="8711" max="8711" width="9.28515625" style="248" customWidth="1"/>
    <col min="8712" max="8712" width="9.28515625" style="248" bestFit="1" customWidth="1"/>
    <col min="8713" max="8713" width="13.140625" style="248" customWidth="1"/>
    <col min="8714" max="8714" width="13.5703125" style="248" customWidth="1"/>
    <col min="8715" max="8715" width="9.5703125" style="248" customWidth="1"/>
    <col min="8716" max="8716" width="14.85546875" style="248" customWidth="1"/>
    <col min="8717" max="8956" width="9.140625" style="248"/>
    <col min="8957" max="8957" width="5.5703125" style="248" customWidth="1"/>
    <col min="8958" max="8958" width="33.5703125" style="248" customWidth="1"/>
    <col min="8959" max="8959" width="15.5703125" style="248" customWidth="1"/>
    <col min="8960" max="8960" width="9.5703125" style="248" customWidth="1"/>
    <col min="8961" max="8961" width="11.7109375" style="248" customWidth="1"/>
    <col min="8962" max="8962" width="13.140625" style="248" customWidth="1"/>
    <col min="8963" max="8963" width="10.85546875" style="248" customWidth="1"/>
    <col min="8964" max="8964" width="9.28515625" style="248" bestFit="1" customWidth="1"/>
    <col min="8965" max="8965" width="12.140625" style="248" customWidth="1"/>
    <col min="8966" max="8966" width="12.7109375" style="248" customWidth="1"/>
    <col min="8967" max="8967" width="9.28515625" style="248" customWidth="1"/>
    <col min="8968" max="8968" width="9.28515625" style="248" bestFit="1" customWidth="1"/>
    <col min="8969" max="8969" width="13.140625" style="248" customWidth="1"/>
    <col min="8970" max="8970" width="13.5703125" style="248" customWidth="1"/>
    <col min="8971" max="8971" width="9.5703125" style="248" customWidth="1"/>
    <col min="8972" max="8972" width="14.85546875" style="248" customWidth="1"/>
    <col min="8973" max="9212" width="9.140625" style="248"/>
    <col min="9213" max="9213" width="5.5703125" style="248" customWidth="1"/>
    <col min="9214" max="9214" width="33.5703125" style="248" customWidth="1"/>
    <col min="9215" max="9215" width="15.5703125" style="248" customWidth="1"/>
    <col min="9216" max="9216" width="9.5703125" style="248" customWidth="1"/>
    <col min="9217" max="9217" width="11.7109375" style="248" customWidth="1"/>
    <col min="9218" max="9218" width="13.140625" style="248" customWidth="1"/>
    <col min="9219" max="9219" width="10.85546875" style="248" customWidth="1"/>
    <col min="9220" max="9220" width="9.28515625" style="248" bestFit="1" customWidth="1"/>
    <col min="9221" max="9221" width="12.140625" style="248" customWidth="1"/>
    <col min="9222" max="9222" width="12.7109375" style="248" customWidth="1"/>
    <col min="9223" max="9223" width="9.28515625" style="248" customWidth="1"/>
    <col min="9224" max="9224" width="9.28515625" style="248" bestFit="1" customWidth="1"/>
    <col min="9225" max="9225" width="13.140625" style="248" customWidth="1"/>
    <col min="9226" max="9226" width="13.5703125" style="248" customWidth="1"/>
    <col min="9227" max="9227" width="9.5703125" style="248" customWidth="1"/>
    <col min="9228" max="9228" width="14.85546875" style="248" customWidth="1"/>
    <col min="9229" max="9468" width="9.140625" style="248"/>
    <col min="9469" max="9469" width="5.5703125" style="248" customWidth="1"/>
    <col min="9470" max="9470" width="33.5703125" style="248" customWidth="1"/>
    <col min="9471" max="9471" width="15.5703125" style="248" customWidth="1"/>
    <col min="9472" max="9472" width="9.5703125" style="248" customWidth="1"/>
    <col min="9473" max="9473" width="11.7109375" style="248" customWidth="1"/>
    <col min="9474" max="9474" width="13.140625" style="248" customWidth="1"/>
    <col min="9475" max="9475" width="10.85546875" style="248" customWidth="1"/>
    <col min="9476" max="9476" width="9.28515625" style="248" bestFit="1" customWidth="1"/>
    <col min="9477" max="9477" width="12.140625" style="248" customWidth="1"/>
    <col min="9478" max="9478" width="12.7109375" style="248" customWidth="1"/>
    <col min="9479" max="9479" width="9.28515625" style="248" customWidth="1"/>
    <col min="9480" max="9480" width="9.28515625" style="248" bestFit="1" customWidth="1"/>
    <col min="9481" max="9481" width="13.140625" style="248" customWidth="1"/>
    <col min="9482" max="9482" width="13.5703125" style="248" customWidth="1"/>
    <col min="9483" max="9483" width="9.5703125" style="248" customWidth="1"/>
    <col min="9484" max="9484" width="14.85546875" style="248" customWidth="1"/>
    <col min="9485" max="9724" width="9.140625" style="248"/>
    <col min="9725" max="9725" width="5.5703125" style="248" customWidth="1"/>
    <col min="9726" max="9726" width="33.5703125" style="248" customWidth="1"/>
    <col min="9727" max="9727" width="15.5703125" style="248" customWidth="1"/>
    <col min="9728" max="9728" width="9.5703125" style="248" customWidth="1"/>
    <col min="9729" max="9729" width="11.7109375" style="248" customWidth="1"/>
    <col min="9730" max="9730" width="13.140625" style="248" customWidth="1"/>
    <col min="9731" max="9731" width="10.85546875" style="248" customWidth="1"/>
    <col min="9732" max="9732" width="9.28515625" style="248" bestFit="1" customWidth="1"/>
    <col min="9733" max="9733" width="12.140625" style="248" customWidth="1"/>
    <col min="9734" max="9734" width="12.7109375" style="248" customWidth="1"/>
    <col min="9735" max="9735" width="9.28515625" style="248" customWidth="1"/>
    <col min="9736" max="9736" width="9.28515625" style="248" bestFit="1" customWidth="1"/>
    <col min="9737" max="9737" width="13.140625" style="248" customWidth="1"/>
    <col min="9738" max="9738" width="13.5703125" style="248" customWidth="1"/>
    <col min="9739" max="9739" width="9.5703125" style="248" customWidth="1"/>
    <col min="9740" max="9740" width="14.85546875" style="248" customWidth="1"/>
    <col min="9741" max="9980" width="9.140625" style="248"/>
    <col min="9981" max="9981" width="5.5703125" style="248" customWidth="1"/>
    <col min="9982" max="9982" width="33.5703125" style="248" customWidth="1"/>
    <col min="9983" max="9983" width="15.5703125" style="248" customWidth="1"/>
    <col min="9984" max="9984" width="9.5703125" style="248" customWidth="1"/>
    <col min="9985" max="9985" width="11.7109375" style="248" customWidth="1"/>
    <col min="9986" max="9986" width="13.140625" style="248" customWidth="1"/>
    <col min="9987" max="9987" width="10.85546875" style="248" customWidth="1"/>
    <col min="9988" max="9988" width="9.28515625" style="248" bestFit="1" customWidth="1"/>
    <col min="9989" max="9989" width="12.140625" style="248" customWidth="1"/>
    <col min="9990" max="9990" width="12.7109375" style="248" customWidth="1"/>
    <col min="9991" max="9991" width="9.28515625" style="248" customWidth="1"/>
    <col min="9992" max="9992" width="9.28515625" style="248" bestFit="1" customWidth="1"/>
    <col min="9993" max="9993" width="13.140625" style="248" customWidth="1"/>
    <col min="9994" max="9994" width="13.5703125" style="248" customWidth="1"/>
    <col min="9995" max="9995" width="9.5703125" style="248" customWidth="1"/>
    <col min="9996" max="9996" width="14.85546875" style="248" customWidth="1"/>
    <col min="9997" max="10236" width="9.140625" style="248"/>
    <col min="10237" max="10237" width="5.5703125" style="248" customWidth="1"/>
    <col min="10238" max="10238" width="33.5703125" style="248" customWidth="1"/>
    <col min="10239" max="10239" width="15.5703125" style="248" customWidth="1"/>
    <col min="10240" max="10240" width="9.5703125" style="248" customWidth="1"/>
    <col min="10241" max="10241" width="11.7109375" style="248" customWidth="1"/>
    <col min="10242" max="10242" width="13.140625" style="248" customWidth="1"/>
    <col min="10243" max="10243" width="10.85546875" style="248" customWidth="1"/>
    <col min="10244" max="10244" width="9.28515625" style="248" bestFit="1" customWidth="1"/>
    <col min="10245" max="10245" width="12.140625" style="248" customWidth="1"/>
    <col min="10246" max="10246" width="12.7109375" style="248" customWidth="1"/>
    <col min="10247" max="10247" width="9.28515625" style="248" customWidth="1"/>
    <col min="10248" max="10248" width="9.28515625" style="248" bestFit="1" customWidth="1"/>
    <col min="10249" max="10249" width="13.140625" style="248" customWidth="1"/>
    <col min="10250" max="10250" width="13.5703125" style="248" customWidth="1"/>
    <col min="10251" max="10251" width="9.5703125" style="248" customWidth="1"/>
    <col min="10252" max="10252" width="14.85546875" style="248" customWidth="1"/>
    <col min="10253" max="10492" width="9.140625" style="248"/>
    <col min="10493" max="10493" width="5.5703125" style="248" customWidth="1"/>
    <col min="10494" max="10494" width="33.5703125" style="248" customWidth="1"/>
    <col min="10495" max="10495" width="15.5703125" style="248" customWidth="1"/>
    <col min="10496" max="10496" width="9.5703125" style="248" customWidth="1"/>
    <col min="10497" max="10497" width="11.7109375" style="248" customWidth="1"/>
    <col min="10498" max="10498" width="13.140625" style="248" customWidth="1"/>
    <col min="10499" max="10499" width="10.85546875" style="248" customWidth="1"/>
    <col min="10500" max="10500" width="9.28515625" style="248" bestFit="1" customWidth="1"/>
    <col min="10501" max="10501" width="12.140625" style="248" customWidth="1"/>
    <col min="10502" max="10502" width="12.7109375" style="248" customWidth="1"/>
    <col min="10503" max="10503" width="9.28515625" style="248" customWidth="1"/>
    <col min="10504" max="10504" width="9.28515625" style="248" bestFit="1" customWidth="1"/>
    <col min="10505" max="10505" width="13.140625" style="248" customWidth="1"/>
    <col min="10506" max="10506" width="13.5703125" style="248" customWidth="1"/>
    <col min="10507" max="10507" width="9.5703125" style="248" customWidth="1"/>
    <col min="10508" max="10508" width="14.85546875" style="248" customWidth="1"/>
    <col min="10509" max="10748" width="9.140625" style="248"/>
    <col min="10749" max="10749" width="5.5703125" style="248" customWidth="1"/>
    <col min="10750" max="10750" width="33.5703125" style="248" customWidth="1"/>
    <col min="10751" max="10751" width="15.5703125" style="248" customWidth="1"/>
    <col min="10752" max="10752" width="9.5703125" style="248" customWidth="1"/>
    <col min="10753" max="10753" width="11.7109375" style="248" customWidth="1"/>
    <col min="10754" max="10754" width="13.140625" style="248" customWidth="1"/>
    <col min="10755" max="10755" width="10.85546875" style="248" customWidth="1"/>
    <col min="10756" max="10756" width="9.28515625" style="248" bestFit="1" customWidth="1"/>
    <col min="10757" max="10757" width="12.140625" style="248" customWidth="1"/>
    <col min="10758" max="10758" width="12.7109375" style="248" customWidth="1"/>
    <col min="10759" max="10759" width="9.28515625" style="248" customWidth="1"/>
    <col min="10760" max="10760" width="9.28515625" style="248" bestFit="1" customWidth="1"/>
    <col min="10761" max="10761" width="13.140625" style="248" customWidth="1"/>
    <col min="10762" max="10762" width="13.5703125" style="248" customWidth="1"/>
    <col min="10763" max="10763" width="9.5703125" style="248" customWidth="1"/>
    <col min="10764" max="10764" width="14.85546875" style="248" customWidth="1"/>
    <col min="10765" max="11004" width="9.140625" style="248"/>
    <col min="11005" max="11005" width="5.5703125" style="248" customWidth="1"/>
    <col min="11006" max="11006" width="33.5703125" style="248" customWidth="1"/>
    <col min="11007" max="11007" width="15.5703125" style="248" customWidth="1"/>
    <col min="11008" max="11008" width="9.5703125" style="248" customWidth="1"/>
    <col min="11009" max="11009" width="11.7109375" style="248" customWidth="1"/>
    <col min="11010" max="11010" width="13.140625" style="248" customWidth="1"/>
    <col min="11011" max="11011" width="10.85546875" style="248" customWidth="1"/>
    <col min="11012" max="11012" width="9.28515625" style="248" bestFit="1" customWidth="1"/>
    <col min="11013" max="11013" width="12.140625" style="248" customWidth="1"/>
    <col min="11014" max="11014" width="12.7109375" style="248" customWidth="1"/>
    <col min="11015" max="11015" width="9.28515625" style="248" customWidth="1"/>
    <col min="11016" max="11016" width="9.28515625" style="248" bestFit="1" customWidth="1"/>
    <col min="11017" max="11017" width="13.140625" style="248" customWidth="1"/>
    <col min="11018" max="11018" width="13.5703125" style="248" customWidth="1"/>
    <col min="11019" max="11019" width="9.5703125" style="248" customWidth="1"/>
    <col min="11020" max="11020" width="14.85546875" style="248" customWidth="1"/>
    <col min="11021" max="11260" width="9.140625" style="248"/>
    <col min="11261" max="11261" width="5.5703125" style="248" customWidth="1"/>
    <col min="11262" max="11262" width="33.5703125" style="248" customWidth="1"/>
    <col min="11263" max="11263" width="15.5703125" style="248" customWidth="1"/>
    <col min="11264" max="11264" width="9.5703125" style="248" customWidth="1"/>
    <col min="11265" max="11265" width="11.7109375" style="248" customWidth="1"/>
    <col min="11266" max="11266" width="13.140625" style="248" customWidth="1"/>
    <col min="11267" max="11267" width="10.85546875" style="248" customWidth="1"/>
    <col min="11268" max="11268" width="9.28515625" style="248" bestFit="1" customWidth="1"/>
    <col min="11269" max="11269" width="12.140625" style="248" customWidth="1"/>
    <col min="11270" max="11270" width="12.7109375" style="248" customWidth="1"/>
    <col min="11271" max="11271" width="9.28515625" style="248" customWidth="1"/>
    <col min="11272" max="11272" width="9.28515625" style="248" bestFit="1" customWidth="1"/>
    <col min="11273" max="11273" width="13.140625" style="248" customWidth="1"/>
    <col min="11274" max="11274" width="13.5703125" style="248" customWidth="1"/>
    <col min="11275" max="11275" width="9.5703125" style="248" customWidth="1"/>
    <col min="11276" max="11276" width="14.85546875" style="248" customWidth="1"/>
    <col min="11277" max="11516" width="9.140625" style="248"/>
    <col min="11517" max="11517" width="5.5703125" style="248" customWidth="1"/>
    <col min="11518" max="11518" width="33.5703125" style="248" customWidth="1"/>
    <col min="11519" max="11519" width="15.5703125" style="248" customWidth="1"/>
    <col min="11520" max="11520" width="9.5703125" style="248" customWidth="1"/>
    <col min="11521" max="11521" width="11.7109375" style="248" customWidth="1"/>
    <col min="11522" max="11522" width="13.140625" style="248" customWidth="1"/>
    <col min="11523" max="11523" width="10.85546875" style="248" customWidth="1"/>
    <col min="11524" max="11524" width="9.28515625" style="248" bestFit="1" customWidth="1"/>
    <col min="11525" max="11525" width="12.140625" style="248" customWidth="1"/>
    <col min="11526" max="11526" width="12.7109375" style="248" customWidth="1"/>
    <col min="11527" max="11527" width="9.28515625" style="248" customWidth="1"/>
    <col min="11528" max="11528" width="9.28515625" style="248" bestFit="1" customWidth="1"/>
    <col min="11529" max="11529" width="13.140625" style="248" customWidth="1"/>
    <col min="11530" max="11530" width="13.5703125" style="248" customWidth="1"/>
    <col min="11531" max="11531" width="9.5703125" style="248" customWidth="1"/>
    <col min="11532" max="11532" width="14.85546875" style="248" customWidth="1"/>
    <col min="11533" max="11772" width="9.140625" style="248"/>
    <col min="11773" max="11773" width="5.5703125" style="248" customWidth="1"/>
    <col min="11774" max="11774" width="33.5703125" style="248" customWidth="1"/>
    <col min="11775" max="11775" width="15.5703125" style="248" customWidth="1"/>
    <col min="11776" max="11776" width="9.5703125" style="248" customWidth="1"/>
    <col min="11777" max="11777" width="11.7109375" style="248" customWidth="1"/>
    <col min="11778" max="11778" width="13.140625" style="248" customWidth="1"/>
    <col min="11779" max="11779" width="10.85546875" style="248" customWidth="1"/>
    <col min="11780" max="11780" width="9.28515625" style="248" bestFit="1" customWidth="1"/>
    <col min="11781" max="11781" width="12.140625" style="248" customWidth="1"/>
    <col min="11782" max="11782" width="12.7109375" style="248" customWidth="1"/>
    <col min="11783" max="11783" width="9.28515625" style="248" customWidth="1"/>
    <col min="11784" max="11784" width="9.28515625" style="248" bestFit="1" customWidth="1"/>
    <col min="11785" max="11785" width="13.140625" style="248" customWidth="1"/>
    <col min="11786" max="11786" width="13.5703125" style="248" customWidth="1"/>
    <col min="11787" max="11787" width="9.5703125" style="248" customWidth="1"/>
    <col min="11788" max="11788" width="14.85546875" style="248" customWidth="1"/>
    <col min="11789" max="12028" width="9.140625" style="248"/>
    <col min="12029" max="12029" width="5.5703125" style="248" customWidth="1"/>
    <col min="12030" max="12030" width="33.5703125" style="248" customWidth="1"/>
    <col min="12031" max="12031" width="15.5703125" style="248" customWidth="1"/>
    <col min="12032" max="12032" width="9.5703125" style="248" customWidth="1"/>
    <col min="12033" max="12033" width="11.7109375" style="248" customWidth="1"/>
    <col min="12034" max="12034" width="13.140625" style="248" customWidth="1"/>
    <col min="12035" max="12035" width="10.85546875" style="248" customWidth="1"/>
    <col min="12036" max="12036" width="9.28515625" style="248" bestFit="1" customWidth="1"/>
    <col min="12037" max="12037" width="12.140625" style="248" customWidth="1"/>
    <col min="12038" max="12038" width="12.7109375" style="248" customWidth="1"/>
    <col min="12039" max="12039" width="9.28515625" style="248" customWidth="1"/>
    <col min="12040" max="12040" width="9.28515625" style="248" bestFit="1" customWidth="1"/>
    <col min="12041" max="12041" width="13.140625" style="248" customWidth="1"/>
    <col min="12042" max="12042" width="13.5703125" style="248" customWidth="1"/>
    <col min="12043" max="12043" width="9.5703125" style="248" customWidth="1"/>
    <col min="12044" max="12044" width="14.85546875" style="248" customWidth="1"/>
    <col min="12045" max="12284" width="9.140625" style="248"/>
    <col min="12285" max="12285" width="5.5703125" style="248" customWidth="1"/>
    <col min="12286" max="12286" width="33.5703125" style="248" customWidth="1"/>
    <col min="12287" max="12287" width="15.5703125" style="248" customWidth="1"/>
    <col min="12288" max="12288" width="9.5703125" style="248" customWidth="1"/>
    <col min="12289" max="12289" width="11.7109375" style="248" customWidth="1"/>
    <col min="12290" max="12290" width="13.140625" style="248" customWidth="1"/>
    <col min="12291" max="12291" width="10.85546875" style="248" customWidth="1"/>
    <col min="12292" max="12292" width="9.28515625" style="248" bestFit="1" customWidth="1"/>
    <col min="12293" max="12293" width="12.140625" style="248" customWidth="1"/>
    <col min="12294" max="12294" width="12.7109375" style="248" customWidth="1"/>
    <col min="12295" max="12295" width="9.28515625" style="248" customWidth="1"/>
    <col min="12296" max="12296" width="9.28515625" style="248" bestFit="1" customWidth="1"/>
    <col min="12297" max="12297" width="13.140625" style="248" customWidth="1"/>
    <col min="12298" max="12298" width="13.5703125" style="248" customWidth="1"/>
    <col min="12299" max="12299" width="9.5703125" style="248" customWidth="1"/>
    <col min="12300" max="12300" width="14.85546875" style="248" customWidth="1"/>
    <col min="12301" max="12540" width="9.140625" style="248"/>
    <col min="12541" max="12541" width="5.5703125" style="248" customWidth="1"/>
    <col min="12542" max="12542" width="33.5703125" style="248" customWidth="1"/>
    <col min="12543" max="12543" width="15.5703125" style="248" customWidth="1"/>
    <col min="12544" max="12544" width="9.5703125" style="248" customWidth="1"/>
    <col min="12545" max="12545" width="11.7109375" style="248" customWidth="1"/>
    <col min="12546" max="12546" width="13.140625" style="248" customWidth="1"/>
    <col min="12547" max="12547" width="10.85546875" style="248" customWidth="1"/>
    <col min="12548" max="12548" width="9.28515625" style="248" bestFit="1" customWidth="1"/>
    <col min="12549" max="12549" width="12.140625" style="248" customWidth="1"/>
    <col min="12550" max="12550" width="12.7109375" style="248" customWidth="1"/>
    <col min="12551" max="12551" width="9.28515625" style="248" customWidth="1"/>
    <col min="12552" max="12552" width="9.28515625" style="248" bestFit="1" customWidth="1"/>
    <col min="12553" max="12553" width="13.140625" style="248" customWidth="1"/>
    <col min="12554" max="12554" width="13.5703125" style="248" customWidth="1"/>
    <col min="12555" max="12555" width="9.5703125" style="248" customWidth="1"/>
    <col min="12556" max="12556" width="14.85546875" style="248" customWidth="1"/>
    <col min="12557" max="12796" width="9.140625" style="248"/>
    <col min="12797" max="12797" width="5.5703125" style="248" customWidth="1"/>
    <col min="12798" max="12798" width="33.5703125" style="248" customWidth="1"/>
    <col min="12799" max="12799" width="15.5703125" style="248" customWidth="1"/>
    <col min="12800" max="12800" width="9.5703125" style="248" customWidth="1"/>
    <col min="12801" max="12801" width="11.7109375" style="248" customWidth="1"/>
    <col min="12802" max="12802" width="13.140625" style="248" customWidth="1"/>
    <col min="12803" max="12803" width="10.85546875" style="248" customWidth="1"/>
    <col min="12804" max="12804" width="9.28515625" style="248" bestFit="1" customWidth="1"/>
    <col min="12805" max="12805" width="12.140625" style="248" customWidth="1"/>
    <col min="12806" max="12806" width="12.7109375" style="248" customWidth="1"/>
    <col min="12807" max="12807" width="9.28515625" style="248" customWidth="1"/>
    <col min="12808" max="12808" width="9.28515625" style="248" bestFit="1" customWidth="1"/>
    <col min="12809" max="12809" width="13.140625" style="248" customWidth="1"/>
    <col min="12810" max="12810" width="13.5703125" style="248" customWidth="1"/>
    <col min="12811" max="12811" width="9.5703125" style="248" customWidth="1"/>
    <col min="12812" max="12812" width="14.85546875" style="248" customWidth="1"/>
    <col min="12813" max="13052" width="9.140625" style="248"/>
    <col min="13053" max="13053" width="5.5703125" style="248" customWidth="1"/>
    <col min="13054" max="13054" width="33.5703125" style="248" customWidth="1"/>
    <col min="13055" max="13055" width="15.5703125" style="248" customWidth="1"/>
    <col min="13056" max="13056" width="9.5703125" style="248" customWidth="1"/>
    <col min="13057" max="13057" width="11.7109375" style="248" customWidth="1"/>
    <col min="13058" max="13058" width="13.140625" style="248" customWidth="1"/>
    <col min="13059" max="13059" width="10.85546875" style="248" customWidth="1"/>
    <col min="13060" max="13060" width="9.28515625" style="248" bestFit="1" customWidth="1"/>
    <col min="13061" max="13061" width="12.140625" style="248" customWidth="1"/>
    <col min="13062" max="13062" width="12.7109375" style="248" customWidth="1"/>
    <col min="13063" max="13063" width="9.28515625" style="248" customWidth="1"/>
    <col min="13064" max="13064" width="9.28515625" style="248" bestFit="1" customWidth="1"/>
    <col min="13065" max="13065" width="13.140625" style="248" customWidth="1"/>
    <col min="13066" max="13066" width="13.5703125" style="248" customWidth="1"/>
    <col min="13067" max="13067" width="9.5703125" style="248" customWidth="1"/>
    <col min="13068" max="13068" width="14.85546875" style="248" customWidth="1"/>
    <col min="13069" max="13308" width="9.140625" style="248"/>
    <col min="13309" max="13309" width="5.5703125" style="248" customWidth="1"/>
    <col min="13310" max="13310" width="33.5703125" style="248" customWidth="1"/>
    <col min="13311" max="13311" width="15.5703125" style="248" customWidth="1"/>
    <col min="13312" max="13312" width="9.5703125" style="248" customWidth="1"/>
    <col min="13313" max="13313" width="11.7109375" style="248" customWidth="1"/>
    <col min="13314" max="13314" width="13.140625" style="248" customWidth="1"/>
    <col min="13315" max="13315" width="10.85546875" style="248" customWidth="1"/>
    <col min="13316" max="13316" width="9.28515625" style="248" bestFit="1" customWidth="1"/>
    <col min="13317" max="13317" width="12.140625" style="248" customWidth="1"/>
    <col min="13318" max="13318" width="12.7109375" style="248" customWidth="1"/>
    <col min="13319" max="13319" width="9.28515625" style="248" customWidth="1"/>
    <col min="13320" max="13320" width="9.28515625" style="248" bestFit="1" customWidth="1"/>
    <col min="13321" max="13321" width="13.140625" style="248" customWidth="1"/>
    <col min="13322" max="13322" width="13.5703125" style="248" customWidth="1"/>
    <col min="13323" max="13323" width="9.5703125" style="248" customWidth="1"/>
    <col min="13324" max="13324" width="14.85546875" style="248" customWidth="1"/>
    <col min="13325" max="13564" width="9.140625" style="248"/>
    <col min="13565" max="13565" width="5.5703125" style="248" customWidth="1"/>
    <col min="13566" max="13566" width="33.5703125" style="248" customWidth="1"/>
    <col min="13567" max="13567" width="15.5703125" style="248" customWidth="1"/>
    <col min="13568" max="13568" width="9.5703125" style="248" customWidth="1"/>
    <col min="13569" max="13569" width="11.7109375" style="248" customWidth="1"/>
    <col min="13570" max="13570" width="13.140625" style="248" customWidth="1"/>
    <col min="13571" max="13571" width="10.85546875" style="248" customWidth="1"/>
    <col min="13572" max="13572" width="9.28515625" style="248" bestFit="1" customWidth="1"/>
    <col min="13573" max="13573" width="12.140625" style="248" customWidth="1"/>
    <col min="13574" max="13574" width="12.7109375" style="248" customWidth="1"/>
    <col min="13575" max="13575" width="9.28515625" style="248" customWidth="1"/>
    <col min="13576" max="13576" width="9.28515625" style="248" bestFit="1" customWidth="1"/>
    <col min="13577" max="13577" width="13.140625" style="248" customWidth="1"/>
    <col min="13578" max="13578" width="13.5703125" style="248" customWidth="1"/>
    <col min="13579" max="13579" width="9.5703125" style="248" customWidth="1"/>
    <col min="13580" max="13580" width="14.85546875" style="248" customWidth="1"/>
    <col min="13581" max="13820" width="9.140625" style="248"/>
    <col min="13821" max="13821" width="5.5703125" style="248" customWidth="1"/>
    <col min="13822" max="13822" width="33.5703125" style="248" customWidth="1"/>
    <col min="13823" max="13823" width="15.5703125" style="248" customWidth="1"/>
    <col min="13824" max="13824" width="9.5703125" style="248" customWidth="1"/>
    <col min="13825" max="13825" width="11.7109375" style="248" customWidth="1"/>
    <col min="13826" max="13826" width="13.140625" style="248" customWidth="1"/>
    <col min="13827" max="13827" width="10.85546875" style="248" customWidth="1"/>
    <col min="13828" max="13828" width="9.28515625" style="248" bestFit="1" customWidth="1"/>
    <col min="13829" max="13829" width="12.140625" style="248" customWidth="1"/>
    <col min="13830" max="13830" width="12.7109375" style="248" customWidth="1"/>
    <col min="13831" max="13831" width="9.28515625" style="248" customWidth="1"/>
    <col min="13832" max="13832" width="9.28515625" style="248" bestFit="1" customWidth="1"/>
    <col min="13833" max="13833" width="13.140625" style="248" customWidth="1"/>
    <col min="13834" max="13834" width="13.5703125" style="248" customWidth="1"/>
    <col min="13835" max="13835" width="9.5703125" style="248" customWidth="1"/>
    <col min="13836" max="13836" width="14.85546875" style="248" customWidth="1"/>
    <col min="13837" max="14076" width="9.140625" style="248"/>
    <col min="14077" max="14077" width="5.5703125" style="248" customWidth="1"/>
    <col min="14078" max="14078" width="33.5703125" style="248" customWidth="1"/>
    <col min="14079" max="14079" width="15.5703125" style="248" customWidth="1"/>
    <col min="14080" max="14080" width="9.5703125" style="248" customWidth="1"/>
    <col min="14081" max="14081" width="11.7109375" style="248" customWidth="1"/>
    <col min="14082" max="14082" width="13.140625" style="248" customWidth="1"/>
    <col min="14083" max="14083" width="10.85546875" style="248" customWidth="1"/>
    <col min="14084" max="14084" width="9.28515625" style="248" bestFit="1" customWidth="1"/>
    <col min="14085" max="14085" width="12.140625" style="248" customWidth="1"/>
    <col min="14086" max="14086" width="12.7109375" style="248" customWidth="1"/>
    <col min="14087" max="14087" width="9.28515625" style="248" customWidth="1"/>
    <col min="14088" max="14088" width="9.28515625" style="248" bestFit="1" customWidth="1"/>
    <col min="14089" max="14089" width="13.140625" style="248" customWidth="1"/>
    <col min="14090" max="14090" width="13.5703125" style="248" customWidth="1"/>
    <col min="14091" max="14091" width="9.5703125" style="248" customWidth="1"/>
    <col min="14092" max="14092" width="14.85546875" style="248" customWidth="1"/>
    <col min="14093" max="14332" width="9.140625" style="248"/>
    <col min="14333" max="14333" width="5.5703125" style="248" customWidth="1"/>
    <col min="14334" max="14334" width="33.5703125" style="248" customWidth="1"/>
    <col min="14335" max="14335" width="15.5703125" style="248" customWidth="1"/>
    <col min="14336" max="14336" width="9.5703125" style="248" customWidth="1"/>
    <col min="14337" max="14337" width="11.7109375" style="248" customWidth="1"/>
    <col min="14338" max="14338" width="13.140625" style="248" customWidth="1"/>
    <col min="14339" max="14339" width="10.85546875" style="248" customWidth="1"/>
    <col min="14340" max="14340" width="9.28515625" style="248" bestFit="1" customWidth="1"/>
    <col min="14341" max="14341" width="12.140625" style="248" customWidth="1"/>
    <col min="14342" max="14342" width="12.7109375" style="248" customWidth="1"/>
    <col min="14343" max="14343" width="9.28515625" style="248" customWidth="1"/>
    <col min="14344" max="14344" width="9.28515625" style="248" bestFit="1" customWidth="1"/>
    <col min="14345" max="14345" width="13.140625" style="248" customWidth="1"/>
    <col min="14346" max="14346" width="13.5703125" style="248" customWidth="1"/>
    <col min="14347" max="14347" width="9.5703125" style="248" customWidth="1"/>
    <col min="14348" max="14348" width="14.85546875" style="248" customWidth="1"/>
    <col min="14349" max="14588" width="9.140625" style="248"/>
    <col min="14589" max="14589" width="5.5703125" style="248" customWidth="1"/>
    <col min="14590" max="14590" width="33.5703125" style="248" customWidth="1"/>
    <col min="14591" max="14591" width="15.5703125" style="248" customWidth="1"/>
    <col min="14592" max="14592" width="9.5703125" style="248" customWidth="1"/>
    <col min="14593" max="14593" width="11.7109375" style="248" customWidth="1"/>
    <col min="14594" max="14594" width="13.140625" style="248" customWidth="1"/>
    <col min="14595" max="14595" width="10.85546875" style="248" customWidth="1"/>
    <col min="14596" max="14596" width="9.28515625" style="248" bestFit="1" customWidth="1"/>
    <col min="14597" max="14597" width="12.140625" style="248" customWidth="1"/>
    <col min="14598" max="14598" width="12.7109375" style="248" customWidth="1"/>
    <col min="14599" max="14599" width="9.28515625" style="248" customWidth="1"/>
    <col min="14600" max="14600" width="9.28515625" style="248" bestFit="1" customWidth="1"/>
    <col min="14601" max="14601" width="13.140625" style="248" customWidth="1"/>
    <col min="14602" max="14602" width="13.5703125" style="248" customWidth="1"/>
    <col min="14603" max="14603" width="9.5703125" style="248" customWidth="1"/>
    <col min="14604" max="14604" width="14.85546875" style="248" customWidth="1"/>
    <col min="14605" max="14844" width="9.140625" style="248"/>
    <col min="14845" max="14845" width="5.5703125" style="248" customWidth="1"/>
    <col min="14846" max="14846" width="33.5703125" style="248" customWidth="1"/>
    <col min="14847" max="14847" width="15.5703125" style="248" customWidth="1"/>
    <col min="14848" max="14848" width="9.5703125" style="248" customWidth="1"/>
    <col min="14849" max="14849" width="11.7109375" style="248" customWidth="1"/>
    <col min="14850" max="14850" width="13.140625" style="248" customWidth="1"/>
    <col min="14851" max="14851" width="10.85546875" style="248" customWidth="1"/>
    <col min="14852" max="14852" width="9.28515625" style="248" bestFit="1" customWidth="1"/>
    <col min="14853" max="14853" width="12.140625" style="248" customWidth="1"/>
    <col min="14854" max="14854" width="12.7109375" style="248" customWidth="1"/>
    <col min="14855" max="14855" width="9.28515625" style="248" customWidth="1"/>
    <col min="14856" max="14856" width="9.28515625" style="248" bestFit="1" customWidth="1"/>
    <col min="14857" max="14857" width="13.140625" style="248" customWidth="1"/>
    <col min="14858" max="14858" width="13.5703125" style="248" customWidth="1"/>
    <col min="14859" max="14859" width="9.5703125" style="248" customWidth="1"/>
    <col min="14860" max="14860" width="14.85546875" style="248" customWidth="1"/>
    <col min="14861" max="15100" width="9.140625" style="248"/>
    <col min="15101" max="15101" width="5.5703125" style="248" customWidth="1"/>
    <col min="15102" max="15102" width="33.5703125" style="248" customWidth="1"/>
    <col min="15103" max="15103" width="15.5703125" style="248" customWidth="1"/>
    <col min="15104" max="15104" width="9.5703125" style="248" customWidth="1"/>
    <col min="15105" max="15105" width="11.7109375" style="248" customWidth="1"/>
    <col min="15106" max="15106" width="13.140625" style="248" customWidth="1"/>
    <col min="15107" max="15107" width="10.85546875" style="248" customWidth="1"/>
    <col min="15108" max="15108" width="9.28515625" style="248" bestFit="1" customWidth="1"/>
    <col min="15109" max="15109" width="12.140625" style="248" customWidth="1"/>
    <col min="15110" max="15110" width="12.7109375" style="248" customWidth="1"/>
    <col min="15111" max="15111" width="9.28515625" style="248" customWidth="1"/>
    <col min="15112" max="15112" width="9.28515625" style="248" bestFit="1" customWidth="1"/>
    <col min="15113" max="15113" width="13.140625" style="248" customWidth="1"/>
    <col min="15114" max="15114" width="13.5703125" style="248" customWidth="1"/>
    <col min="15115" max="15115" width="9.5703125" style="248" customWidth="1"/>
    <col min="15116" max="15116" width="14.85546875" style="248" customWidth="1"/>
    <col min="15117" max="15356" width="9.140625" style="248"/>
    <col min="15357" max="15357" width="5.5703125" style="248" customWidth="1"/>
    <col min="15358" max="15358" width="33.5703125" style="248" customWidth="1"/>
    <col min="15359" max="15359" width="15.5703125" style="248" customWidth="1"/>
    <col min="15360" max="15360" width="9.5703125" style="248" customWidth="1"/>
    <col min="15361" max="15361" width="11.7109375" style="248" customWidth="1"/>
    <col min="15362" max="15362" width="13.140625" style="248" customWidth="1"/>
    <col min="15363" max="15363" width="10.85546875" style="248" customWidth="1"/>
    <col min="15364" max="15364" width="9.28515625" style="248" bestFit="1" customWidth="1"/>
    <col min="15365" max="15365" width="12.140625" style="248" customWidth="1"/>
    <col min="15366" max="15366" width="12.7109375" style="248" customWidth="1"/>
    <col min="15367" max="15367" width="9.28515625" style="248" customWidth="1"/>
    <col min="15368" max="15368" width="9.28515625" style="248" bestFit="1" customWidth="1"/>
    <col min="15369" max="15369" width="13.140625" style="248" customWidth="1"/>
    <col min="15370" max="15370" width="13.5703125" style="248" customWidth="1"/>
    <col min="15371" max="15371" width="9.5703125" style="248" customWidth="1"/>
    <col min="15372" max="15372" width="14.85546875" style="248" customWidth="1"/>
    <col min="15373" max="15612" width="9.140625" style="248"/>
    <col min="15613" max="15613" width="5.5703125" style="248" customWidth="1"/>
    <col min="15614" max="15614" width="33.5703125" style="248" customWidth="1"/>
    <col min="15615" max="15615" width="15.5703125" style="248" customWidth="1"/>
    <col min="15616" max="15616" width="9.5703125" style="248" customWidth="1"/>
    <col min="15617" max="15617" width="11.7109375" style="248" customWidth="1"/>
    <col min="15618" max="15618" width="13.140625" style="248" customWidth="1"/>
    <col min="15619" max="15619" width="10.85546875" style="248" customWidth="1"/>
    <col min="15620" max="15620" width="9.28515625" style="248" bestFit="1" customWidth="1"/>
    <col min="15621" max="15621" width="12.140625" style="248" customWidth="1"/>
    <col min="15622" max="15622" width="12.7109375" style="248" customWidth="1"/>
    <col min="15623" max="15623" width="9.28515625" style="248" customWidth="1"/>
    <col min="15624" max="15624" width="9.28515625" style="248" bestFit="1" customWidth="1"/>
    <col min="15625" max="15625" width="13.140625" style="248" customWidth="1"/>
    <col min="15626" max="15626" width="13.5703125" style="248" customWidth="1"/>
    <col min="15627" max="15627" width="9.5703125" style="248" customWidth="1"/>
    <col min="15628" max="15628" width="14.85546875" style="248" customWidth="1"/>
    <col min="15629" max="15868" width="9.140625" style="248"/>
    <col min="15869" max="15869" width="5.5703125" style="248" customWidth="1"/>
    <col min="15870" max="15870" width="33.5703125" style="248" customWidth="1"/>
    <col min="15871" max="15871" width="15.5703125" style="248" customWidth="1"/>
    <col min="15872" max="15872" width="9.5703125" style="248" customWidth="1"/>
    <col min="15873" max="15873" width="11.7109375" style="248" customWidth="1"/>
    <col min="15874" max="15874" width="13.140625" style="248" customWidth="1"/>
    <col min="15875" max="15875" width="10.85546875" style="248" customWidth="1"/>
    <col min="15876" max="15876" width="9.28515625" style="248" bestFit="1" customWidth="1"/>
    <col min="15877" max="15877" width="12.140625" style="248" customWidth="1"/>
    <col min="15878" max="15878" width="12.7109375" style="248" customWidth="1"/>
    <col min="15879" max="15879" width="9.28515625" style="248" customWidth="1"/>
    <col min="15880" max="15880" width="9.28515625" style="248" bestFit="1" customWidth="1"/>
    <col min="15881" max="15881" width="13.140625" style="248" customWidth="1"/>
    <col min="15882" max="15882" width="13.5703125" style="248" customWidth="1"/>
    <col min="15883" max="15883" width="9.5703125" style="248" customWidth="1"/>
    <col min="15884" max="15884" width="14.85546875" style="248" customWidth="1"/>
    <col min="15885" max="16124" width="9.140625" style="248"/>
    <col min="16125" max="16125" width="5.5703125" style="248" customWidth="1"/>
    <col min="16126" max="16126" width="33.5703125" style="248" customWidth="1"/>
    <col min="16127" max="16127" width="15.5703125" style="248" customWidth="1"/>
    <col min="16128" max="16128" width="9.5703125" style="248" customWidth="1"/>
    <col min="16129" max="16129" width="11.7109375" style="248" customWidth="1"/>
    <col min="16130" max="16130" width="13.140625" style="248" customWidth="1"/>
    <col min="16131" max="16131" width="10.85546875" style="248" customWidth="1"/>
    <col min="16132" max="16132" width="9.28515625" style="248" bestFit="1" customWidth="1"/>
    <col min="16133" max="16133" width="12.140625" style="248" customWidth="1"/>
    <col min="16134" max="16134" width="12.7109375" style="248" customWidth="1"/>
    <col min="16135" max="16135" width="9.28515625" style="248" customWidth="1"/>
    <col min="16136" max="16136" width="9.28515625" style="248" bestFit="1" customWidth="1"/>
    <col min="16137" max="16137" width="13.140625" style="248" customWidth="1"/>
    <col min="16138" max="16138" width="13.5703125" style="248" customWidth="1"/>
    <col min="16139" max="16139" width="9.5703125" style="248" customWidth="1"/>
    <col min="16140" max="16140" width="14.85546875" style="248" customWidth="1"/>
    <col min="16141" max="16384" width="9.140625" style="248"/>
  </cols>
  <sheetData>
    <row r="1" spans="1:12" ht="51.6" customHeight="1">
      <c r="C1" s="450" t="s">
        <v>474</v>
      </c>
      <c r="D1" s="450"/>
      <c r="E1" s="450"/>
      <c r="F1" s="450"/>
      <c r="G1" s="450"/>
      <c r="H1" s="450"/>
      <c r="I1" s="450"/>
      <c r="J1" s="450"/>
      <c r="K1" s="450"/>
      <c r="L1" s="450"/>
    </row>
    <row r="2" spans="1:12" ht="18.600000000000001" customHeight="1">
      <c r="A2" s="452" t="s">
        <v>447</v>
      </c>
      <c r="B2" s="452"/>
      <c r="C2" s="452"/>
      <c r="D2" s="452"/>
      <c r="E2" s="452"/>
      <c r="F2" s="452"/>
      <c r="G2" s="452"/>
      <c r="H2" s="452"/>
      <c r="I2" s="452"/>
      <c r="J2" s="452"/>
      <c r="K2" s="452"/>
      <c r="L2" s="452"/>
    </row>
    <row r="3" spans="1:12" ht="19.899999999999999" customHeight="1">
      <c r="A3" s="453" t="s">
        <v>475</v>
      </c>
      <c r="B3" s="453"/>
      <c r="C3" s="453"/>
      <c r="D3" s="453"/>
      <c r="E3" s="453"/>
      <c r="F3" s="453"/>
      <c r="G3" s="453"/>
      <c r="H3" s="453"/>
      <c r="I3" s="453"/>
      <c r="J3" s="453"/>
      <c r="K3" s="453"/>
      <c r="L3" s="453"/>
    </row>
    <row r="4" spans="1:12" ht="15.6" customHeight="1">
      <c r="A4" s="454" t="s">
        <v>448</v>
      </c>
      <c r="B4" s="449" t="s">
        <v>449</v>
      </c>
      <c r="C4" s="449" t="s">
        <v>450</v>
      </c>
      <c r="D4" s="449" t="s">
        <v>451</v>
      </c>
      <c r="E4" s="449"/>
      <c r="F4" s="449"/>
      <c r="G4" s="449"/>
      <c r="H4" s="451" t="s">
        <v>412</v>
      </c>
      <c r="I4" s="451"/>
      <c r="J4" s="451"/>
      <c r="K4" s="451"/>
      <c r="L4" s="449" t="s">
        <v>452</v>
      </c>
    </row>
    <row r="5" spans="1:12" ht="84" customHeight="1">
      <c r="A5" s="454"/>
      <c r="B5" s="449"/>
      <c r="C5" s="449"/>
      <c r="D5" s="402" t="s">
        <v>453</v>
      </c>
      <c r="E5" s="402" t="s">
        <v>454</v>
      </c>
      <c r="F5" s="402" t="s">
        <v>455</v>
      </c>
      <c r="G5" s="262" t="s">
        <v>456</v>
      </c>
      <c r="H5" s="403" t="s">
        <v>453</v>
      </c>
      <c r="I5" s="403" t="s">
        <v>454</v>
      </c>
      <c r="J5" s="403" t="s">
        <v>455</v>
      </c>
      <c r="K5" s="404" t="s">
        <v>456</v>
      </c>
      <c r="L5" s="449"/>
    </row>
    <row r="6" spans="1:12" s="254" customFormat="1" ht="21.6" customHeight="1">
      <c r="A6" s="251">
        <v>1</v>
      </c>
      <c r="B6" s="251" t="s">
        <v>27</v>
      </c>
      <c r="C6" s="405" t="s">
        <v>457</v>
      </c>
      <c r="D6" s="252">
        <f>D7+D10</f>
        <v>38204.6</v>
      </c>
      <c r="E6" s="252">
        <f t="shared" ref="E6:K6" si="0">E7+E10</f>
        <v>114167.6</v>
      </c>
      <c r="F6" s="252">
        <f t="shared" si="0"/>
        <v>0</v>
      </c>
      <c r="G6" s="252">
        <f t="shared" si="0"/>
        <v>152372.20000000001</v>
      </c>
      <c r="H6" s="252">
        <f t="shared" si="0"/>
        <v>8633</v>
      </c>
      <c r="I6" s="252">
        <f t="shared" si="0"/>
        <v>16508.7</v>
      </c>
      <c r="J6" s="252">
        <f t="shared" si="0"/>
        <v>0</v>
      </c>
      <c r="K6" s="252">
        <f t="shared" si="0"/>
        <v>25141.7</v>
      </c>
      <c r="L6" s="253" t="s">
        <v>56</v>
      </c>
    </row>
    <row r="7" spans="1:12" ht="25.15" customHeight="1">
      <c r="A7" s="255" t="s">
        <v>458</v>
      </c>
      <c r="B7" s="255" t="s">
        <v>229</v>
      </c>
      <c r="C7" s="256" t="s">
        <v>457</v>
      </c>
      <c r="D7" s="406">
        <f t="shared" ref="D7:K7" si="1">SUM(D8:D9)</f>
        <v>36660.9</v>
      </c>
      <c r="E7" s="406">
        <f t="shared" si="1"/>
        <v>114167.6</v>
      </c>
      <c r="F7" s="406">
        <f t="shared" si="1"/>
        <v>0</v>
      </c>
      <c r="G7" s="406">
        <f t="shared" si="1"/>
        <v>150828.5</v>
      </c>
      <c r="H7" s="406">
        <f t="shared" si="1"/>
        <v>7592.3</v>
      </c>
      <c r="I7" s="406">
        <f t="shared" si="1"/>
        <v>16508.7</v>
      </c>
      <c r="J7" s="406">
        <f t="shared" si="1"/>
        <v>0</v>
      </c>
      <c r="K7" s="406">
        <f t="shared" si="1"/>
        <v>24101</v>
      </c>
      <c r="L7" s="257" t="s">
        <v>228</v>
      </c>
    </row>
    <row r="8" spans="1:12" ht="66.75" customHeight="1">
      <c r="A8" s="258" t="s">
        <v>459</v>
      </c>
      <c r="B8" s="258" t="s">
        <v>460</v>
      </c>
      <c r="C8" s="407" t="s">
        <v>265</v>
      </c>
      <c r="D8" s="406">
        <f>33854.1-2002.5</f>
        <v>31851.599999999999</v>
      </c>
      <c r="E8" s="406">
        <f>124851.8-27547.2</f>
        <v>97304.6</v>
      </c>
      <c r="F8" s="406">
        <v>0</v>
      </c>
      <c r="G8" s="406">
        <f>D8+E8+F8</f>
        <v>129156.20000000001</v>
      </c>
      <c r="H8" s="260">
        <v>3387</v>
      </c>
      <c r="I8" s="260"/>
      <c r="J8" s="260"/>
      <c r="K8" s="406">
        <f>H8+I8+J8</f>
        <v>3387</v>
      </c>
      <c r="L8" s="257" t="s">
        <v>228</v>
      </c>
    </row>
    <row r="9" spans="1:12" ht="86.25" customHeight="1">
      <c r="A9" s="258" t="s">
        <v>461</v>
      </c>
      <c r="B9" s="258" t="s">
        <v>462</v>
      </c>
      <c r="C9" s="407" t="s">
        <v>265</v>
      </c>
      <c r="D9" s="406">
        <v>4809.3</v>
      </c>
      <c r="E9" s="406">
        <f>18924.2-2061.2</f>
        <v>16863</v>
      </c>
      <c r="F9" s="406">
        <v>0</v>
      </c>
      <c r="G9" s="406">
        <f t="shared" ref="G9:G16" si="2">D9+E9+F9</f>
        <v>21672.3</v>
      </c>
      <c r="H9" s="260">
        <v>4205.3</v>
      </c>
      <c r="I9" s="260">
        <v>16508.7</v>
      </c>
      <c r="J9" s="260"/>
      <c r="K9" s="406">
        <f t="shared" ref="K9" si="3">H9+I9+J9</f>
        <v>20714</v>
      </c>
      <c r="L9" s="257" t="s">
        <v>228</v>
      </c>
    </row>
    <row r="10" spans="1:12">
      <c r="A10" s="258" t="s">
        <v>463</v>
      </c>
      <c r="B10" s="258" t="s">
        <v>28</v>
      </c>
      <c r="C10" s="408" t="s">
        <v>457</v>
      </c>
      <c r="D10" s="406">
        <f>D11</f>
        <v>1543.7</v>
      </c>
      <c r="E10" s="406">
        <f t="shared" ref="E10:K10" si="4">E11</f>
        <v>0</v>
      </c>
      <c r="F10" s="406">
        <f t="shared" si="4"/>
        <v>0</v>
      </c>
      <c r="G10" s="406">
        <f t="shared" si="4"/>
        <v>1543.7</v>
      </c>
      <c r="H10" s="406">
        <f t="shared" si="4"/>
        <v>1040.7</v>
      </c>
      <c r="I10" s="406">
        <f t="shared" si="4"/>
        <v>0</v>
      </c>
      <c r="J10" s="406">
        <f t="shared" si="4"/>
        <v>0</v>
      </c>
      <c r="K10" s="406">
        <f t="shared" si="4"/>
        <v>1040.7</v>
      </c>
      <c r="L10" s="257" t="s">
        <v>48</v>
      </c>
    </row>
    <row r="11" spans="1:12" ht="283.5" customHeight="1">
      <c r="A11" s="258" t="s">
        <v>464</v>
      </c>
      <c r="B11" s="258" t="s">
        <v>465</v>
      </c>
      <c r="C11" s="407" t="s">
        <v>265</v>
      </c>
      <c r="D11" s="406">
        <f>969.8+91.9+482</f>
        <v>1543.7</v>
      </c>
      <c r="E11" s="406">
        <v>0</v>
      </c>
      <c r="F11" s="406">
        <v>0</v>
      </c>
      <c r="G11" s="406">
        <f t="shared" ref="G11" si="5">D11+E11+F11</f>
        <v>1543.7</v>
      </c>
      <c r="H11" s="406">
        <v>1040.7</v>
      </c>
      <c r="I11" s="406">
        <v>0</v>
      </c>
      <c r="J11" s="406">
        <v>0</v>
      </c>
      <c r="K11" s="406">
        <f>H11+I11+J11</f>
        <v>1040.7</v>
      </c>
      <c r="L11" s="257" t="s">
        <v>48</v>
      </c>
    </row>
    <row r="12" spans="1:12" s="254" customFormat="1" ht="27" customHeight="1">
      <c r="A12" s="251" t="s">
        <v>466</v>
      </c>
      <c r="B12" s="251" t="s">
        <v>31</v>
      </c>
      <c r="C12" s="405" t="s">
        <v>457</v>
      </c>
      <c r="D12" s="252">
        <f>D13</f>
        <v>1396.5</v>
      </c>
      <c r="E12" s="252">
        <f t="shared" ref="E12:K13" si="6">E13</f>
        <v>13591.8</v>
      </c>
      <c r="F12" s="252">
        <f t="shared" si="6"/>
        <v>0</v>
      </c>
      <c r="G12" s="252">
        <f t="shared" si="6"/>
        <v>14988.3</v>
      </c>
      <c r="H12" s="252">
        <f t="shared" si="6"/>
        <v>1396.5</v>
      </c>
      <c r="I12" s="252">
        <f t="shared" si="6"/>
        <v>13591.7</v>
      </c>
      <c r="J12" s="252">
        <f t="shared" si="6"/>
        <v>0</v>
      </c>
      <c r="K12" s="252">
        <f t="shared" si="6"/>
        <v>14988.2</v>
      </c>
      <c r="L12" s="253" t="s">
        <v>39</v>
      </c>
    </row>
    <row r="13" spans="1:12" ht="25.5" customHeight="1">
      <c r="A13" s="259" t="s">
        <v>467</v>
      </c>
      <c r="B13" s="259" t="s">
        <v>83</v>
      </c>
      <c r="C13" s="409" t="s">
        <v>457</v>
      </c>
      <c r="D13" s="406">
        <f>D14</f>
        <v>1396.5</v>
      </c>
      <c r="E13" s="406">
        <f t="shared" si="6"/>
        <v>13591.8</v>
      </c>
      <c r="F13" s="406">
        <f t="shared" si="6"/>
        <v>0</v>
      </c>
      <c r="G13" s="406">
        <f t="shared" si="6"/>
        <v>14988.3</v>
      </c>
      <c r="H13" s="406">
        <f t="shared" si="6"/>
        <v>1396.5</v>
      </c>
      <c r="I13" s="406">
        <f t="shared" si="6"/>
        <v>13591.7</v>
      </c>
      <c r="J13" s="406">
        <f t="shared" si="6"/>
        <v>0</v>
      </c>
      <c r="K13" s="406">
        <f t="shared" si="6"/>
        <v>14988.2</v>
      </c>
      <c r="L13" s="257" t="s">
        <v>82</v>
      </c>
    </row>
    <row r="14" spans="1:12" ht="110.25" customHeight="1">
      <c r="A14" s="258" t="s">
        <v>468</v>
      </c>
      <c r="B14" s="259" t="s">
        <v>469</v>
      </c>
      <c r="C14" s="407" t="s">
        <v>273</v>
      </c>
      <c r="D14" s="260">
        <f>SUM(D15:D16)</f>
        <v>1396.5</v>
      </c>
      <c r="E14" s="260">
        <f t="shared" ref="E14:K14" si="7">SUM(E15:E16)</f>
        <v>13591.8</v>
      </c>
      <c r="F14" s="260">
        <f t="shared" si="7"/>
        <v>0</v>
      </c>
      <c r="G14" s="260">
        <f t="shared" si="7"/>
        <v>14988.3</v>
      </c>
      <c r="H14" s="260">
        <f t="shared" si="7"/>
        <v>1396.5</v>
      </c>
      <c r="I14" s="260">
        <f t="shared" si="7"/>
        <v>13591.7</v>
      </c>
      <c r="J14" s="260">
        <f t="shared" si="7"/>
        <v>0</v>
      </c>
      <c r="K14" s="260">
        <f t="shared" si="7"/>
        <v>14988.2</v>
      </c>
      <c r="L14" s="257" t="s">
        <v>82</v>
      </c>
    </row>
    <row r="15" spans="1:12" ht="102" customHeight="1">
      <c r="A15" s="258" t="s">
        <v>470</v>
      </c>
      <c r="B15" s="258" t="s">
        <v>471</v>
      </c>
      <c r="C15" s="407" t="s">
        <v>273</v>
      </c>
      <c r="D15" s="406">
        <v>0</v>
      </c>
      <c r="E15" s="406">
        <f>'[1] № 5  рп, кцср, квр'!E697</f>
        <v>8006</v>
      </c>
      <c r="F15" s="406">
        <v>0</v>
      </c>
      <c r="G15" s="406">
        <f t="shared" si="2"/>
        <v>8006</v>
      </c>
      <c r="H15" s="406">
        <v>0</v>
      </c>
      <c r="I15" s="406">
        <v>8005.9</v>
      </c>
      <c r="J15" s="406">
        <v>0</v>
      </c>
      <c r="K15" s="406">
        <f t="shared" ref="K15:K16" si="8">H15+I15+J15</f>
        <v>8005.9</v>
      </c>
      <c r="L15" s="257" t="s">
        <v>82</v>
      </c>
    </row>
    <row r="16" spans="1:12" ht="111.75" customHeight="1">
      <c r="A16" s="258" t="s">
        <v>472</v>
      </c>
      <c r="B16" s="258" t="s">
        <v>473</v>
      </c>
      <c r="C16" s="407" t="s">
        <v>273</v>
      </c>
      <c r="D16" s="406">
        <f>'[1]№ 4 ведом'!F614</f>
        <v>1396.5</v>
      </c>
      <c r="E16" s="406">
        <f>'[1] № 5  рп, кцср, квр'!E703</f>
        <v>5585.7999999999993</v>
      </c>
      <c r="F16" s="406">
        <v>0</v>
      </c>
      <c r="G16" s="406">
        <f t="shared" si="2"/>
        <v>6982.2999999999993</v>
      </c>
      <c r="H16" s="406">
        <v>1396.5</v>
      </c>
      <c r="I16" s="406">
        <v>5585.8</v>
      </c>
      <c r="J16" s="406">
        <v>0</v>
      </c>
      <c r="K16" s="406">
        <f t="shared" si="8"/>
        <v>6982.3</v>
      </c>
      <c r="L16" s="257" t="s">
        <v>82</v>
      </c>
    </row>
    <row r="17" spans="1:12" s="254" customFormat="1" ht="15.75" customHeight="1">
      <c r="A17" s="261"/>
      <c r="B17" s="261" t="s">
        <v>0</v>
      </c>
      <c r="C17" s="262"/>
      <c r="D17" s="252">
        <f t="shared" ref="D17:K17" si="9">D6+D12</f>
        <v>39601.1</v>
      </c>
      <c r="E17" s="252">
        <f t="shared" si="9"/>
        <v>127759.40000000001</v>
      </c>
      <c r="F17" s="252">
        <f t="shared" si="9"/>
        <v>0</v>
      </c>
      <c r="G17" s="252">
        <f t="shared" si="9"/>
        <v>167360.5</v>
      </c>
      <c r="H17" s="252">
        <f t="shared" si="9"/>
        <v>10029.5</v>
      </c>
      <c r="I17" s="252">
        <f t="shared" si="9"/>
        <v>30100.400000000001</v>
      </c>
      <c r="J17" s="252">
        <f t="shared" si="9"/>
        <v>0</v>
      </c>
      <c r="K17" s="252">
        <f t="shared" si="9"/>
        <v>40129.9</v>
      </c>
      <c r="L17" s="263" t="s">
        <v>457</v>
      </c>
    </row>
    <row r="18" spans="1:12" ht="14.25" customHeight="1">
      <c r="A18" s="264"/>
      <c r="B18" s="264"/>
      <c r="C18" s="265"/>
      <c r="D18" s="266"/>
      <c r="E18" s="266"/>
      <c r="F18" s="266"/>
      <c r="G18" s="267"/>
      <c r="H18" s="266"/>
      <c r="I18" s="266"/>
      <c r="J18" s="266"/>
      <c r="K18" s="267"/>
      <c r="L18" s="268"/>
    </row>
    <row r="19" spans="1:12" ht="2.25" hidden="1" customHeight="1">
      <c r="A19" s="264"/>
      <c r="B19" s="264"/>
      <c r="C19" s="265"/>
      <c r="D19" s="266"/>
      <c r="E19" s="266"/>
      <c r="F19" s="266"/>
      <c r="G19" s="267"/>
      <c r="H19" s="266"/>
      <c r="I19" s="266"/>
      <c r="J19" s="266"/>
      <c r="K19" s="267"/>
      <c r="L19" s="268"/>
    </row>
    <row r="20" spans="1:12" hidden="1">
      <c r="A20" s="264"/>
      <c r="B20" s="264"/>
      <c r="C20" s="265"/>
      <c r="D20" s="266"/>
      <c r="E20" s="266"/>
      <c r="F20" s="266"/>
      <c r="G20" s="267"/>
      <c r="H20" s="266"/>
      <c r="I20" s="266"/>
      <c r="J20" s="266"/>
      <c r="K20" s="267"/>
      <c r="L20" s="268"/>
    </row>
    <row r="21" spans="1:12" hidden="1">
      <c r="A21" s="264"/>
      <c r="B21" s="264"/>
      <c r="C21" s="265"/>
      <c r="D21" s="266" t="e">
        <f>#REF!+#REF!+#REF!</f>
        <v>#REF!</v>
      </c>
      <c r="E21" s="266" t="e">
        <f>#REF!+#REF!+#REF!</f>
        <v>#REF!</v>
      </c>
      <c r="F21" s="266" t="e">
        <f>#REF!+#REF!+#REF!</f>
        <v>#REF!</v>
      </c>
      <c r="G21" s="266" t="e">
        <f>#REF!+#REF!+#REF!</f>
        <v>#REF!</v>
      </c>
      <c r="H21" s="266" t="e">
        <f>#REF!+#REF!+#REF!</f>
        <v>#REF!</v>
      </c>
      <c r="I21" s="266" t="e">
        <f>#REF!+#REF!+#REF!</f>
        <v>#REF!</v>
      </c>
      <c r="J21" s="266" t="e">
        <f>#REF!+#REF!+#REF!</f>
        <v>#REF!</v>
      </c>
      <c r="K21" s="266" t="e">
        <f>#REF!+#REF!+#REF!</f>
        <v>#REF!</v>
      </c>
      <c r="L21" s="268"/>
    </row>
  </sheetData>
  <mergeCells count="9">
    <mergeCell ref="D4:G4"/>
    <mergeCell ref="C1:L1"/>
    <mergeCell ref="H4:K4"/>
    <mergeCell ref="A2:L2"/>
    <mergeCell ref="A3:L3"/>
    <mergeCell ref="A4:A5"/>
    <mergeCell ref="B4:B5"/>
    <mergeCell ref="C4:C5"/>
    <mergeCell ref="L4:L5"/>
  </mergeCells>
  <pageMargins left="0.15748031496062992" right="0.15748031496062992" top="7.874015748031496E-2" bottom="0" header="0.31496062992125984" footer="0.31496062992125984"/>
  <pageSetup paperSize="9" scale="63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10</vt:i4>
      </vt:variant>
      <vt:variant>
        <vt:lpstr>Именованные диапазоны</vt:lpstr>
      </vt:variant>
      <vt:variant>
        <vt:i4>4</vt:i4>
      </vt:variant>
    </vt:vector>
  </HeadingPairs>
  <TitlesOfParts>
    <vt:vector size="14" baseType="lpstr">
      <vt:lpstr>№ 1 источ </vt:lpstr>
      <vt:lpstr>№2 источ</vt:lpstr>
      <vt:lpstr>№ 3 дох.</vt:lpstr>
      <vt:lpstr>№4 дох. по кодам</vt:lpstr>
      <vt:lpstr>№ 5 р.п</vt:lpstr>
      <vt:lpstr>№ 6 ведом</vt:lpstr>
      <vt:lpstr> № 7  рп, кцср, квр</vt:lpstr>
      <vt:lpstr>№ 8 МП</vt:lpstr>
      <vt:lpstr>№ 9 ПО </vt:lpstr>
      <vt:lpstr>№ 10 АИП</vt:lpstr>
      <vt:lpstr>'№ 5 р.п'!Print_Area</vt:lpstr>
      <vt:lpstr>'№ 6 ведом'!Print_Area</vt:lpstr>
      <vt:lpstr>'№ 8 МП'!Print_Area</vt:lpstr>
      <vt:lpstr>'№ 3 дох.'!Область_печати</vt:lpstr>
    </vt:vector>
  </TitlesOfParts>
  <Company>ОФ и ЭА Администрация города Торжка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Маслобойщикова</dc:creator>
  <cp:lastModifiedBy>Маслобойщикова Елена Анатольевна</cp:lastModifiedBy>
  <cp:lastPrinted>2024-03-28T07:53:38Z</cp:lastPrinted>
  <dcterms:created xsi:type="dcterms:W3CDTF">2007-11-30T05:39:28Z</dcterms:created>
  <dcterms:modified xsi:type="dcterms:W3CDTF">2024-03-28T13:52:52Z</dcterms:modified>
</cp:coreProperties>
</file>